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comments2.xml" ContentType="application/vnd.openxmlformats-officedocument.spreadsheetml.comments+xml"/>
  <Override PartName="/xl/worksheets/sheet14.xml" ContentType="application/vnd.openxmlformats-officedocument.spreadsheetml.worksheet+xml"/>
  <Override PartName="/xl/worksheets/sheet2.xml" ContentType="application/vnd.openxmlformats-officedocument.spreadsheetml.worksheet+xml"/>
  <Override PartName="/xl/worksheets/sheet15.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1.xml" ContentType="application/vnd.openxmlformats-officedocument.spreadsheetml.worksheet+xml"/>
  <Override PartName="/xl/worksheets/sheet11.xml" ContentType="application/vnd.openxmlformats-officedocument.spreadsheetml.worksheet+xml"/>
  <Override PartName="/xl/worksheets/sheet9.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drawings/vmlDrawing1.vml" ContentType="application/vnd.openxmlformats-officedocument.vmlDrawing"/>
  <Override PartName="/xl/drawings/vmlDrawing2.vml" ContentType="application/vnd.openxmlformats-officedocument.vmlDrawing"/>
  <Override PartName="/xl/comments1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Ex1_Lookups" sheetId="2" state="visible" r:id="rId4"/>
    <sheet name="Ex2_PSI" sheetId="3" state="visible" r:id="rId5"/>
    <sheet name="Ex3_Accuracy" sheetId="4" state="visible" r:id="rId6"/>
    <sheet name="Ex4_WoW_Report" sheetId="5" state="visible" r:id="rId7"/>
    <sheet name="Ex5_Aging" sheetId="6" state="visible" r:id="rId8"/>
    <sheet name="Ex6_Recon_PO" sheetId="7" state="visible" r:id="rId9"/>
    <sheet name="Data" sheetId="8" state="visible" r:id="rId10"/>
    <sheet name="Ref" sheetId="9" state="visible" r:id="rId11"/>
    <sheet name="Key_Ex1" sheetId="10" state="visible" r:id="rId12"/>
    <sheet name="Key_Ex2" sheetId="11" state="visible" r:id="rId13"/>
    <sheet name="Key_Ex3" sheetId="12" state="visible" r:id="rId14"/>
    <sheet name="Key_Ex4" sheetId="13" state="visible" r:id="rId15"/>
    <sheet name="Key_Ex5" sheetId="14" state="visible" r:id="rId16"/>
    <sheet name="Key_Ex6" sheetId="15" state="visible" r:id="rId17"/>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Coach</author>
  </authors>
  <commentList>
    <comment ref="E6" authorId="0">
      <text>
        <r>
          <rPr>
            <sz val="10"/>
            <rFont val="Arial"/>
            <family val="2"/>
          </rPr>
          <t xml:space="preserve">Type: =XLOOKUP(B6,Ref!$A$4:$A$6,Ref!$B$4:$B$6,"Not found")  (needs Excel 2021 or 365)</t>
        </r>
      </text>
    </comment>
  </commentList>
</comments>
</file>

<file path=xl/comments10.xml><?xml version="1.0" encoding="utf-8"?>
<comments xmlns="http://schemas.openxmlformats.org/spreadsheetml/2006/main" xmlns:xdr="http://schemas.openxmlformats.org/drawingml/2006/spreadsheetDrawing">
  <authors>
    <author>Coach</author>
  </authors>
  <commentList>
    <comment ref="E6" authorId="0">
      <text>
        <r>
          <rPr>
            <sz val="10"/>
            <rFont val="Arial"/>
            <family val="2"/>
          </rPr>
          <t xml:space="preserve">In Excel 365 type: =XLOOKUP(B6,Ref!$A$4:$A$6,Ref!$B$4:$B$6,"Not found")</t>
        </r>
      </text>
    </comment>
    <comment ref="E7" authorId="0">
      <text>
        <r>
          <rPr>
            <sz val="10"/>
            <rFont val="Arial"/>
            <family val="2"/>
          </rPr>
          <t xml:space="preserve">In Excel 365 type: =XLOOKUP(B7,Ref!$A$4:$A$6,Ref!$B$4:$B$6,"Not found")</t>
        </r>
      </text>
    </comment>
    <comment ref="E8" authorId="0">
      <text>
        <r>
          <rPr>
            <sz val="10"/>
            <rFont val="Arial"/>
            <family val="2"/>
          </rPr>
          <t xml:space="preserve">In Excel 365 type: =XLOOKUP(B8,Ref!$A$4:$A$6,Ref!$B$4:$B$6,"Not found")</t>
        </r>
      </text>
    </comment>
    <comment ref="E9" authorId="0">
      <text>
        <r>
          <rPr>
            <sz val="10"/>
            <rFont val="Arial"/>
            <family val="2"/>
          </rPr>
          <t xml:space="preserve">In Excel 365 type: =XLOOKUP(B9,Ref!$A$4:$A$6,Ref!$B$4:$B$6,"Not found")</t>
        </r>
      </text>
    </comment>
    <comment ref="E10" authorId="0">
      <text>
        <r>
          <rPr>
            <sz val="10"/>
            <rFont val="Arial"/>
            <family val="2"/>
          </rPr>
          <t xml:space="preserve">In Excel 365 type: =XLOOKUP(B10,Ref!$A$4:$A$6,Ref!$B$4:$B$6,"Not found")</t>
        </r>
      </text>
    </comment>
    <comment ref="E11" authorId="0">
      <text>
        <r>
          <rPr>
            <sz val="10"/>
            <rFont val="Arial"/>
            <family val="2"/>
          </rPr>
          <t xml:space="preserve">In Excel 365 type: =XLOOKUP(B11,Ref!$A$4:$A$6,Ref!$B$4:$B$6,"Not found")</t>
        </r>
      </text>
    </comment>
  </commentList>
</comments>
</file>

<file path=xl/sharedStrings.xml><?xml version="1.0" encoding="utf-8"?>
<sst xmlns="http://schemas.openxmlformats.org/spreadsheetml/2006/main" count="618" uniqueCount="215">
  <si>
    <t xml:space="preserve">Demand planning · Excel practice workbook</t>
  </si>
  <si>
    <t xml:space="preserve">All numbers are illustrative, not real company data.</t>
  </si>
  <si>
    <t xml:space="preserve">What this is</t>
  </si>
  <si>
    <t xml:space="preserve">Six short exercises that copy the weekly work in the job description: lookups, PSI, forecast accuracy, the week-over-week report, aging/reallocation, reconciliation and PO confirmation.</t>
  </si>
  <si>
    <t xml:space="preserve">How to use it</t>
  </si>
  <si>
    <t xml:space="preserve">Open Ex1 first and go in order. Type every formula yourself in the yellow cells. Only then compare with the matching Key_ sheet (red tabs). The interview may include a live Excel task like these.</t>
  </si>
  <si>
    <t xml:space="preserve">Colour legend</t>
  </si>
  <si>
    <t xml:space="preserve">Yellow = you fill in. Light green = worked example (done for you). Blue text = given data. Green text = pulled from another sheet. Peach boxes on Key_ sheets = model answers.</t>
  </si>
  <si>
    <t xml:space="preserve">Saturday</t>
  </si>
  <si>
    <t xml:space="preserve">Ex1 Lookups (VLOOKUP, XLOOKUP, INDEX/MATCH, SUMIFS, COUNTIFS) → Ex2 PSI table.</t>
  </si>
  <si>
    <t xml:space="preserve">Sunday</t>
  </si>
  <si>
    <t xml:space="preserve">Ex3 accuracy (MAPE, WAPE, bias) → Ex4 WoW report + PivotTable → Ex5 aging and reallocation → Ex6 reconciliation and PO confirmation.</t>
  </si>
  <si>
    <t xml:space="preserve">Excel version</t>
  </si>
  <si>
    <t xml:space="preserve">XLOOKUP needs Excel 2021 or Microsoft 365. If you don't have it, use INDEX/MATCH, which works everywhere.</t>
  </si>
  <si>
    <t xml:space="preserve">SQL bridge</t>
  </si>
  <si>
    <t xml:space="preserve">PivotTable = GROUP BY. SUMIFS = SUM(...) WHERE. COUNTIFS = COUNT(*) WHERE. XLOOKUP / VLOOKUP = a JOIN on one key.</t>
  </si>
  <si>
    <t xml:space="preserve">Formulas to know</t>
  </si>
  <si>
    <t xml:space="preserve">EOH = Opening + Purchases − Sales · WOS = EOH ÷ forward weekly forecast · Loaded forecast = consensus × (1 + buffer %) · WAPE = Σ|F−A| ÷ ΣA · Accuracy = 1 − WAPE · Bias = Σ(F−A) ÷ ΣA · $ impact = units × ASP · Weeks to deplete = stock ÷ weekly sell-through · Supply gap = requirement − confirmed arrivals (+ = short)</t>
  </si>
  <si>
    <t xml:space="preserve">Honesty rule</t>
  </si>
  <si>
    <t xml:space="preserve">This workbook is practice. In the interview, describe it as practice you did to prepare, never as work from a previous job.</t>
  </si>
  <si>
    <t xml:space="preserve">Ex1 · Lookups and conditional sums</t>
  </si>
  <si>
    <t xml:space="preserve">Saturday. Excel skill: VLOOKUP, XLOOKUP, INDEX/MATCH, SUMIFS, COUNTIFS. SQL twin: JOIN and SUM ... WHERE.</t>
  </si>
  <si>
    <t xml:space="preserve">Part A: bring the price (ASP) from the Ref sheet next to each order, three different ways. All three columns must match.</t>
  </si>
  <si>
    <t xml:space="preserve">Order #</t>
  </si>
  <si>
    <t xml:space="preserve">Model</t>
  </si>
  <si>
    <t xml:space="preserve">Units</t>
  </si>
  <si>
    <t xml:space="preserve">ASP via VLOOKUP</t>
  </si>
  <si>
    <t xml:space="preserve">ASP via XLOOKUP</t>
  </si>
  <si>
    <t xml:space="preserve">ASP via INDEX/MATCH</t>
  </si>
  <si>
    <t xml:space="preserve">Revenue ($)</t>
  </si>
  <si>
    <t xml:space="preserve">Model X</t>
  </si>
  <si>
    <t xml:space="preserve">Model Z</t>
  </si>
  <si>
    <t xml:space="preserve">Model Y</t>
  </si>
  <si>
    <t xml:space="preserve">Total revenue</t>
  </si>
  <si>
    <t xml:space="preserve">Green row = worked example. Row 1's XLOOKUP is in the cell comment (hover over E6).</t>
  </si>
  <si>
    <t xml:space="preserve">Part B: answer each question with ONE formula that reads the Data sheet.</t>
  </si>
  <si>
    <t xml:space="preserve">#</t>
  </si>
  <si>
    <t xml:space="preserve">Question</t>
  </si>
  <si>
    <t xml:space="preserve">Your formula's answer</t>
  </si>
  <si>
    <t xml:space="preserve">Total sell-through, Carrier A, all models, weeks 41–48</t>
  </si>
  <si>
    <t xml:space="preserve">Sell-in, Carrier B, Model Y, weeks 45–48 only</t>
  </si>
  <si>
    <t xml:space="preserve">Number of weeks Retailer C sold fewer than 120 units of Model Z</t>
  </si>
  <si>
    <t xml:space="preserve">Channel inventory build-up for Carrier B, Model Y, weeks 41–48 (sell-in minus sell-through)</t>
  </si>
  <si>
    <t xml:space="preserve">Sell-through revenue for Model X, all accounts, weeks 41–48 (units × ASP)</t>
  </si>
  <si>
    <t xml:space="preserve">Questions: answer in your own words, out loud first</t>
  </si>
  <si>
    <t xml:space="preserve">Q1. What can XLOOKUP do that VLOOKUP can't?</t>
  </si>
  <si>
    <t xml:space="preserve">Q2. Explain SUMIFS to someone who knows SQL.</t>
  </si>
  <si>
    <t xml:space="preserve">Q3. Question 4 shows Carrier B's stock of Model Y growing. Why does that matter to the brand?</t>
  </si>
  <si>
    <t xml:space="preserve">Ex2 · Build a PSI table (Purchase – Sales – Inventory)</t>
  </si>
  <si>
    <t xml:space="preserve">Saturday. Ending = Opening + Purchases − Sales. Change B3/B4 to see any account and model.</t>
  </si>
  <si>
    <t xml:space="preserve">Account</t>
  </si>
  <si>
    <t xml:space="preserve">Carrier A</t>
  </si>
  <si>
    <t xml:space="preserve">Try other combinations later: Carrier B + Model Y, Retailer C + Model Z.</t>
  </si>
  <si>
    <t xml:space="preserve">Forward weekly forecast</t>
  </si>
  <si>
    <t xml:space="preserve">Target WOS (weeks)</t>
  </si>
  <si>
    <t xml:space="preserve">Line</t>
  </si>
  <si>
    <t xml:space="preserve">How to calculate</t>
  </si>
  <si>
    <t xml:space="preserve">Wk 41</t>
  </si>
  <si>
    <t xml:space="preserve">Wk 42</t>
  </si>
  <si>
    <t xml:space="preserve">Wk 43</t>
  </si>
  <si>
    <t xml:space="preserve">Wk 44</t>
  </si>
  <si>
    <t xml:space="preserve">Wk 45</t>
  </si>
  <si>
    <t xml:space="preserve">Wk 46</t>
  </si>
  <si>
    <t xml:space="preserve">Wk 47</t>
  </si>
  <si>
    <t xml:space="preserve">Wk 48</t>
  </si>
  <si>
    <t xml:space="preserve">Opening inventory</t>
  </si>
  <si>
    <t xml:space="preserve">Wk 41 from Ref; later weeks = previous week's ending</t>
  </si>
  <si>
    <t xml:space="preserve">Purchases (sell-in)</t>
  </si>
  <si>
    <t xml:space="preserve">SUMIFS on Data, column D</t>
  </si>
  <si>
    <t xml:space="preserve">Sales (sell-through)</t>
  </si>
  <si>
    <t xml:space="preserve">SUMIFS on Data, column E</t>
  </si>
  <si>
    <t xml:space="preserve">Ending inventory (EOH)</t>
  </si>
  <si>
    <t xml:space="preserve">Opening + Purchases − Sales</t>
  </si>
  <si>
    <t xml:space="preserve">Weeks of supply (WOS)</t>
  </si>
  <si>
    <t xml:space="preserve">EOH ÷ forward weekly forecast</t>
  </si>
  <si>
    <t xml:space="preserve">Target stock</t>
  </si>
  <si>
    <t xml:space="preserve">Target WOS × forward forecast</t>
  </si>
  <si>
    <t xml:space="preserve">Over / (short) vs target</t>
  </si>
  <si>
    <t xml:space="preserve">EOH − target stock</t>
  </si>
  <si>
    <t xml:space="preserve">Flag</t>
  </si>
  <si>
    <t xml:space="preserve">Too high, too low or OK</t>
  </si>
  <si>
    <t xml:space="preserve">Row 7 (small grey numbers) holds the week number your SUMIFS should match. Green column = worked example.</t>
  </si>
  <si>
    <t xml:space="preserve">Q1. For Carrier A + Model X, which week had a sales spike? What do you check before changing the forecast?</t>
  </si>
  <si>
    <t xml:space="preserve">Q2. Switch to Carrier B + Model Y. What's happening, and what would you recommend?</t>
  </si>
  <si>
    <t xml:space="preserve">Q3. Switch to Retailer C + Model Z. What's the risk?</t>
  </si>
  <si>
    <t xml:space="preserve">Ex3 · Forecast accuracy: MAPE vs WAPE vs bias</t>
  </si>
  <si>
    <t xml:space="preserve">Sunday. One week, eight models. Error = Forecast − Actual (positive = forecast too high).</t>
  </si>
  <si>
    <t xml:space="preserve">Forecast (F)</t>
  </si>
  <si>
    <t xml:space="preserve">Actual (A)</t>
  </si>
  <si>
    <t xml:space="preserve">Error (F − A)</t>
  </si>
  <si>
    <t xml:space="preserve">Abs error |F − A|</t>
  </si>
  <si>
    <t xml:space="preserve">% error |F − A| ÷ A</t>
  </si>
  <si>
    <t xml:space="preserve">Measure</t>
  </si>
  <si>
    <t xml:space="preserve">Result</t>
  </si>
  <si>
    <t xml:space="preserve">Formula idea</t>
  </si>
  <si>
    <t xml:space="preserve">Model A</t>
  </si>
  <si>
    <t xml:space="preserve">MAPE</t>
  </si>
  <si>
    <t xml:space="preserve">average of the % errors</t>
  </si>
  <si>
    <t xml:space="preserve">Model B</t>
  </si>
  <si>
    <t xml:space="preserve">WAPE</t>
  </si>
  <si>
    <t xml:space="preserve">total abs error ÷ total actual</t>
  </si>
  <si>
    <t xml:space="preserve">Model C</t>
  </si>
  <si>
    <t xml:space="preserve">Forecast accuracy</t>
  </si>
  <si>
    <t xml:space="preserve">1 − WAPE</t>
  </si>
  <si>
    <t xml:space="preserve">Model D</t>
  </si>
  <si>
    <t xml:space="preserve">Bias</t>
  </si>
  <si>
    <t xml:space="preserve">total error ÷ total actual (+ = too high)</t>
  </si>
  <si>
    <t xml:space="preserve">Model E</t>
  </si>
  <si>
    <t xml:space="preserve">WAPE in one cell</t>
  </si>
  <si>
    <t xml:space="preserve">must equal WAPE above</t>
  </si>
  <si>
    <t xml:space="preserve">Model F</t>
  </si>
  <si>
    <t xml:space="preserve">MAPE without Model H</t>
  </si>
  <si>
    <t xml:space="preserve">see how one tiny item distorts MAPE</t>
  </si>
  <si>
    <t xml:space="preserve">Model G</t>
  </si>
  <si>
    <t xml:space="preserve">Model H (tiny)</t>
  </si>
  <si>
    <t xml:space="preserve">Total</t>
  </si>
  <si>
    <t xml:space="preserve">Q1. Why is MAPE so much higher than WAPE here?</t>
  </si>
  <si>
    <t xml:space="preserve">Q2. Is this forecast biased? In which direction, and why does it matter?</t>
  </si>
  <si>
    <t xml:space="preserve">Q3. Which model would you investigate first, and why?</t>
  </si>
  <si>
    <t xml:space="preserve">Ex4 · Week-over-week (WoW) forecast changes and the $ gap to plan</t>
  </si>
  <si>
    <t xml:space="preserve">Sunday. Forecast for Week 50: last week's version vs this week's version.</t>
  </si>
  <si>
    <t xml:space="preserve">Wk 50 fcst, last week</t>
  </si>
  <si>
    <t xml:space="preserve">Wk 50 fcst, this week</t>
  </si>
  <si>
    <t xml:space="preserve">WoW change (units)</t>
  </si>
  <si>
    <t xml:space="preserve">WoW %</t>
  </si>
  <si>
    <t xml:space="preserve">ASP ($)</t>
  </si>
  <si>
    <t xml:space="preserve">$ impact</t>
  </si>
  <si>
    <t xml:space="preserve">Flag (|change| ≥ 200)</t>
  </si>
  <si>
    <t xml:space="preserve">Gap to plan</t>
  </si>
  <si>
    <t xml:space="preserve">Sales plan, Week 50 ($)</t>
  </si>
  <si>
    <t xml:space="preserve">This week's forecast ($)</t>
  </si>
  <si>
    <t xml:space="preserve">Last week's forecast ($)</t>
  </si>
  <si>
    <t xml:space="preserve">Carrier B</t>
  </si>
  <si>
    <t xml:space="preserve">Gap vs plan ($)</t>
  </si>
  <si>
    <t xml:space="preserve">Gap vs plan (%)</t>
  </si>
  <si>
    <t xml:space="preserve">Retailer C</t>
  </si>
  <si>
    <t xml:space="preserve">PivotTable task (do it in Excel, not here)</t>
  </si>
  <si>
    <t xml:space="preserve">1. Click any cell in the Data sheet → Insert → PivotTable → New worksheet.</t>
  </si>
  <si>
    <t xml:space="preserve">2. Rows: Account. Columns: Week. Values: Sum of Sell-through (units).</t>
  </si>
  <si>
    <t xml:space="preserve">3. Add Model as a second row field, then filter to Model X only.</t>
  </si>
  <si>
    <t xml:space="preserve">4. Check: with no filter, your pivot's grand total must equal the green number →</t>
  </si>
  <si>
    <t xml:space="preserve">Q1. Write the one-line headline for this week's report.</t>
  </si>
  <si>
    <t xml:space="preserve">Q2. Which three lines must be explained in the report, and what would you ask the account teams?</t>
  </si>
  <si>
    <t xml:space="preserve">Ex5 · Aging inventory, depletion and reallocating EOH</t>
  </si>
  <si>
    <t xml:space="preserve">Sunday. One model (Model Q) held at four company-controlled locations. Stock an account already owns can't simply be moved.</t>
  </si>
  <si>
    <t xml:space="preserve">Location (company-held)</t>
  </si>
  <si>
    <t xml:space="preserve">Stock (EOH)</t>
  </si>
  <si>
    <t xml:space="preserve">Weekly sell-through</t>
  </si>
  <si>
    <t xml:space="preserve">Days in stock (oldest units)</t>
  </si>
  <si>
    <t xml:space="preserve">Weeks to deplete</t>
  </si>
  <si>
    <t xml:space="preserve">Age bucket</t>
  </si>
  <si>
    <t xml:space="preserve">Risk flag</t>
  </si>
  <si>
    <t xml:space="preserve">Fair-share stock</t>
  </si>
  <si>
    <t xml:space="preserve">Units to move (+ send, − receive)</t>
  </si>
  <si>
    <t xml:space="preserve">Warehouse East</t>
  </si>
  <si>
    <t xml:space="preserve">Warehouse West</t>
  </si>
  <si>
    <t xml:space="preserve">Warehouse Central</t>
  </si>
  <si>
    <t xml:space="preserve">E-store</t>
  </si>
  <si>
    <t xml:space="preserve">Common WOS if stock were spread evenly</t>
  </si>
  <si>
    <t xml:space="preserve">(total stock ÷ total weekly sell-through) →</t>
  </si>
  <si>
    <t xml:space="preserve">Fair-share stock = common WOS × the account's weekly sell-through. Units to move should sum to about 0 (rounding).</t>
  </si>
  <si>
    <t xml:space="preserve">Q1. Which locations have aging risk and which have stock-out risk?</t>
  </si>
  <si>
    <t xml:space="preserve">Q2. What would you check before moving stock? And what if the slow stock were sitting at an account instead?</t>
  </si>
  <si>
    <t xml:space="preserve">Ex6 · Channel inventory reconciliation and weekly PO confirmation</t>
  </si>
  <si>
    <t xml:space="preserve">Sunday. Part A: why do two inventory numbers disagree? Part B: will factory arrivals cover the plan?</t>
  </si>
  <si>
    <t xml:space="preserve">Part A: reconcile the brand's system view with what the account reports</t>
  </si>
  <si>
    <t xml:space="preserve">System channel inventory</t>
  </si>
  <si>
    <t xml:space="preserve">Account-reported</t>
  </si>
  <si>
    <t xml:space="preserve">Difference</t>
  </si>
  <si>
    <t xml:space="preserve">In transit</t>
  </si>
  <si>
    <t xml:space="preserve">Pending returns</t>
  </si>
  <si>
    <t xml:space="preserve">Unexplained</t>
  </si>
  <si>
    <t xml:space="preserve">Status</t>
  </si>
  <si>
    <t xml:space="preserve">Part B: weekly PO confirmation for Model X (ASP $900)</t>
  </si>
  <si>
    <t xml:space="preserve">Week</t>
  </si>
  <si>
    <t xml:space="preserve">Consensus demand</t>
  </si>
  <si>
    <t xml:space="preserve">Buffer %</t>
  </si>
  <si>
    <t xml:space="preserve">Requirement</t>
  </si>
  <si>
    <t xml:space="preserve">Confirmed factory arrivals</t>
  </si>
  <si>
    <t xml:space="preserve">Gap (+ short, − surplus)</t>
  </si>
  <si>
    <t xml:space="preserve">Revenue at risk ($)</t>
  </si>
  <si>
    <t xml:space="preserve">Suggested action</t>
  </si>
  <si>
    <t xml:space="preserve">Requirement = consensus demand × (1 + buffer %). Gap = requirement − arrivals (positive = short). The $900 in column G is Model X's ASP from the Ref sheet.</t>
  </si>
  <si>
    <t xml:space="preserve">Q1. Model Z doesn't reconcile. What are the next things you'd check?</t>
  </si>
  <si>
    <t xml:space="preserve">Q2. Week 44 is short. Talk through your options and what goes in the weekly report.</t>
  </si>
  <si>
    <t xml:space="preserve">Sell-in (units)</t>
  </si>
  <si>
    <t xml:space="preserve">Sell-through (units)</t>
  </si>
  <si>
    <t xml:space="preserve">Illustrative weekly data, not real company data.</t>
  </si>
  <si>
    <t xml:space="preserve">Sell-in = what each account bought from the brand. Sell-through = what the account sold to consumers.</t>
  </si>
  <si>
    <t xml:space="preserve">Use this table for SUMIFS formulas and for the PivotTable task in Ex4.</t>
  </si>
  <si>
    <t xml:space="preserve">Reference tables (given)</t>
  </si>
  <si>
    <t xml:space="preserve">Blue = given inputs. Illustrative numbers.</t>
  </si>
  <si>
    <t xml:space="preserve">ASP = average selling price per unit.</t>
  </si>
  <si>
    <t xml:space="preserve">Opening inventory, Wk 41</t>
  </si>
  <si>
    <t xml:space="preserve">ANSWER KEY. Try the exercise sheet first. Saturday. Excel skill: VLOOKUP, XLOOKUP, INDEX/MATCH, SUMIFS, COUNTIFS. SQL twin: JOIN and SUM ... WHERE.</t>
  </si>
  <si>
    <t xml:space="preserve">XLOOKUP can look left or right, defaults to an exact match, and has a built-in 'not found' value. VLOOKUP only looks to the right of the key column and needs FALSE for an exact match. INDEX/MATCH works in every Excel version.</t>
  </si>
  <si>
    <t xml:space="preserve">SUMIFS(sum_range, criteria_range1, criteria1, ...) is SELECT SUM(col) FROM table WHERE cond1 AND cond2. COUNTIFS is COUNT(*) with the same WHERE.</t>
  </si>
  <si>
    <t xml:space="preserve">Sell-in is running ahead of sell-through, so channel inventory is building. Carrier B will soon order less (lower future sell-in), and if the stock ages the brand may need promotions or price protection. Flag it and slow the sell-in plan.</t>
  </si>
  <si>
    <t xml:space="preserve">ANSWER KEY. Try the exercise sheet first. Saturday. Ending = Opening + Purchases − Sales. Change B3/B4 to see any account and model.</t>
  </si>
  <si>
    <t xml:space="preserve">Week 44: sell-through jumped to about 1.6× normal. Check whether it was real: a carrier promotion, a competitor stock-out or a data error. If it was a one-week promotion, tag it as an event so it doesn't raise the baseline forecast (demand cleaning).</t>
  </si>
  <si>
    <t xml:space="preserve">Sell-in (650 a week) runs about 25% above sell-through (about 520 a week), so EOH keeps growing and WOS climbs from about 3.4 to 5.3 weeks, above the 4-week target. Recommend slowing sell-in (lower the forecast loaded for Carrier B) and watching aging. Check with the account team whether a promotion is planned that would use up the stock.</t>
  </si>
  <si>
    <t xml:space="preserve">Sales are falling about 8% a week (150 down to 84) while purchases stay flat at 150, so WOS climbs from about 4.5 to 7.4 weeks on a slowing model: aging risk. Shrink the buffer, plan a depletion (promotion or reallocation) and cut future sell-in.</t>
  </si>
  <si>
    <t xml:space="preserve">ANSWER KEY. Try the exercise sheet first. Sunday. One week, eight models. Error = Forecast − Actual (positive = forecast too high).</t>
  </si>
  <si>
    <t xml:space="preserve">Model H sold only 4 units against a forecast of 20, a 400% error. MAPE counts every model equally, so one tiny item pulls the average up. WAPE weights by volume, so it reflects the business impact.</t>
  </si>
  <si>
    <t xml:space="preserve">Bias is positive (about +5%), so the forecast runs slightly high overall. Persistent positive bias builds inventory that can age, even when accuracy looks acceptable.</t>
  </si>
  <si>
    <t xml:space="preserve">Model D: the largest absolute error (200 units, over-forecast). Big-volume misses cost the most. Check for an ended promotion or an optimistic sales override.</t>
  </si>
  <si>
    <t xml:space="preserve">ANSWER KEY. Try the exercise sheet first. Sunday. Forecast for Week 50: last week's version vs this week's version.</t>
  </si>
  <si>
    <t xml:space="preserve">Week 50 forecast is down $120K week over week and $210K (5.8%) below the $3.6M sales plan, driven by Carrier A Model X (−300 units after its promotion ended) and Carrier B Model Y (−220, high channel inventory), partly offset by Retailer C Model X (+230, holiday ad).</t>
  </si>
  <si>
    <t xml:space="preserve">The three lines with |change| ≥ 200: Carrier A Model X, Carrier B Model Y and Retailer C Model X. Ask: is the change confirmed by sell-through and channel inventory, is it a one-off event, and is there a plan to close the gap?</t>
  </si>
  <si>
    <t xml:space="preserve">ANSWER KEY. Try the exercise sheet first. Sunday. One model (Model Q) held at four company-controlled locations. Stock an account already owns can't simply be moved.</t>
  </si>
  <si>
    <t xml:space="preserve">Warehouse East (12 weeks to deplete) has aging risk. Warehouse West (1.2 weeks) has stock-out risk. Warehouse Central (6 weeks) is OK on weeks but its oldest units are already 90+ days old, so sell those first. The E-store (1.0 week) has stock-out risk.</t>
  </si>
  <si>
    <t xml:space="preserve">Check that the stock is the company's to move, the transfer cost and time, allocation rules, whether the slow location has a promotion coming, and which units are oldest (move or sell those first). Agree the move in the weekly aging meeting and track it. If the stock already belongs to an account, you can't just move it: slow that account's sell-in, support its sell-through with promotions, or negotiate a stock rotation.</t>
  </si>
  <si>
    <t xml:space="preserve">ANSWER KEY. Try the exercise sheet first. Sunday. Part A: why do two inventory numbers disagree? Part B: will factory arrivals cover the plan?</t>
  </si>
  <si>
    <t xml:space="preserve">150 units are unexplained. Check timing (different weekly cut-off days), a data feed error or a missing week, unit-of-measure mistakes (cases vs units), and shipments booked to the wrong account. Agree the corrected number with the account before using it for WOS.</t>
  </si>
  <si>
    <t xml:space="preserve">780 units short ($702K at risk). Options: expedite part by air (fast but costly), protect priority accounts and short others temporarily, pull forward from the Week 46 surplus if it can arrive earlier, and flag the gap with revenue at risk and the recovery date in the weekly report.</t>
  </si>
</sst>
</file>

<file path=xl/styles.xml><?xml version="1.0" encoding="utf-8"?>
<styleSheet xmlns="http://schemas.openxmlformats.org/spreadsheetml/2006/main">
  <numFmts count="6">
    <numFmt numFmtId="164" formatCode="General"/>
    <numFmt numFmtId="165" formatCode="#,##0;\(#,##0\);\-"/>
    <numFmt numFmtId="166" formatCode="\$#,##0;&quot;($&quot;#,##0\);\-"/>
    <numFmt numFmtId="167" formatCode="0"/>
    <numFmt numFmtId="168" formatCode="0.0"/>
    <numFmt numFmtId="169" formatCode="0.0%"/>
  </numFmts>
  <fonts count="12">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9"/>
      <color rgb="FF595959"/>
      <name val="Arial"/>
      <family val="0"/>
      <charset val="1"/>
    </font>
    <font>
      <b val="true"/>
      <sz val="10"/>
      <name val="Arial"/>
      <family val="0"/>
      <charset val="1"/>
    </font>
    <font>
      <sz val="10"/>
      <name val="Arial"/>
      <family val="0"/>
      <charset val="1"/>
    </font>
    <font>
      <b val="true"/>
      <sz val="10"/>
      <color rgb="FFFFFFFF"/>
      <name val="Arial"/>
      <family val="0"/>
      <charset val="1"/>
    </font>
    <font>
      <sz val="10"/>
      <color rgb="FF0000FF"/>
      <name val="Arial"/>
      <family val="0"/>
      <charset val="1"/>
    </font>
    <font>
      <sz val="10"/>
      <name val="Arial"/>
      <family val="2"/>
    </font>
    <font>
      <sz val="10"/>
      <color rgb="FF008000"/>
      <name val="Arial"/>
      <family val="0"/>
      <charset val="1"/>
    </font>
  </fonts>
  <fills count="7">
    <fill>
      <patternFill patternType="none"/>
    </fill>
    <fill>
      <patternFill patternType="gray125"/>
    </fill>
    <fill>
      <patternFill patternType="solid">
        <fgColor rgb="FF1F3864"/>
        <bgColor rgb="FF333333"/>
      </patternFill>
    </fill>
    <fill>
      <patternFill patternType="solid">
        <fgColor rgb="FFE2EFDA"/>
        <bgColor rgb="FFDDEBF7"/>
      </patternFill>
    </fill>
    <fill>
      <patternFill patternType="solid">
        <fgColor rgb="FFFFFF00"/>
        <bgColor rgb="FFFFFF00"/>
      </patternFill>
    </fill>
    <fill>
      <patternFill patternType="solid">
        <fgColor rgb="FFDDEBF7"/>
        <bgColor rgb="FFE2EFDA"/>
      </patternFill>
    </fill>
    <fill>
      <patternFill patternType="solid">
        <fgColor rgb="FFFCE4D6"/>
        <bgColor rgb="FFE2EFDA"/>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5" fontId="9" fillId="0" borderId="1" xfId="0" applyFont="true" applyBorder="true" applyAlignment="true" applyProtection="false">
      <alignment horizontal="general" vertical="bottom" textRotation="0" wrapText="false" indent="0" shrinkToFit="false"/>
      <protection locked="true" hidden="false"/>
    </xf>
    <xf numFmtId="166" fontId="7" fillId="3" borderId="1" xfId="0" applyFont="true" applyBorder="true" applyAlignment="true" applyProtection="false">
      <alignment horizontal="general" vertical="bottom" textRotation="0" wrapText="false" indent="0" shrinkToFit="false"/>
      <protection locked="true" hidden="false"/>
    </xf>
    <xf numFmtId="166" fontId="7" fillId="4" borderId="1" xfId="0" applyFont="true" applyBorder="tru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general" vertical="top" textRotation="0" wrapText="true" indent="0" shrinkToFit="false"/>
      <protection locked="true" hidden="false"/>
    </xf>
    <xf numFmtId="165" fontId="7" fillId="3" borderId="1" xfId="0" applyFont="true" applyBorder="true" applyAlignment="true" applyProtection="false">
      <alignment horizontal="general" vertical="bottom" textRotation="0" wrapText="false" indent="0" shrinkToFit="false"/>
      <protection locked="true" hidden="false"/>
    </xf>
    <xf numFmtId="165" fontId="7" fillId="4" borderId="1" xfId="0" applyFont="true" applyBorder="true" applyAlignment="true" applyProtection="false">
      <alignment horizontal="general" vertical="bottom" textRotation="0" wrapText="false" indent="0" shrinkToFit="false"/>
      <protection locked="true" hidden="false"/>
    </xf>
    <xf numFmtId="167" fontId="7" fillId="4" borderId="1" xfId="0" applyFont="true" applyBorder="true" applyAlignment="true" applyProtection="false">
      <alignment horizontal="general" vertical="bottom" textRotation="0" wrapText="false" indent="0" shrinkToFit="false"/>
      <protection locked="true" hidden="false"/>
    </xf>
    <xf numFmtId="164" fontId="7" fillId="4" borderId="2" xfId="0" applyFont="true" applyBorder="true" applyAlignment="true" applyProtection="false">
      <alignment horizontal="general" vertical="top" textRotation="0" wrapText="true" indent="0" shrinkToFit="false"/>
      <protection locked="true" hidden="false"/>
    </xf>
    <xf numFmtId="164" fontId="9" fillId="5" borderId="1" xfId="0" applyFont="true" applyBorder="true" applyAlignment="true" applyProtection="false">
      <alignment horizontal="general" vertical="bottom" textRotation="0" wrapText="false" indent="0" shrinkToFit="false"/>
      <protection locked="true" hidden="false"/>
    </xf>
    <xf numFmtId="165" fontId="11" fillId="0" borderId="1" xfId="0" applyFont="true" applyBorder="true" applyAlignment="true" applyProtection="false">
      <alignment horizontal="general" vertical="bottom" textRotation="0" wrapText="false" indent="0" shrinkToFit="false"/>
      <protection locked="true" hidden="false"/>
    </xf>
    <xf numFmtId="168" fontId="11" fillId="0" borderId="1" xfId="0" applyFont="true" applyBorder="true" applyAlignment="tru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5" fontId="11" fillId="3" borderId="1" xfId="0" applyFont="true" applyBorder="true" applyAlignment="true" applyProtection="false">
      <alignment horizontal="general" vertical="bottom" textRotation="0" wrapText="false" indent="0" shrinkToFit="false"/>
      <protection locked="true" hidden="false"/>
    </xf>
    <xf numFmtId="168" fontId="7" fillId="3" borderId="1" xfId="0" applyFont="true" applyBorder="true" applyAlignment="true" applyProtection="false">
      <alignment horizontal="general" vertical="bottom" textRotation="0" wrapText="false" indent="0" shrinkToFit="false"/>
      <protection locked="true" hidden="false"/>
    </xf>
    <xf numFmtId="168" fontId="7" fillId="4" borderId="1" xfId="0" applyFont="true" applyBorder="true" applyAlignment="tru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general" vertical="bottom" textRotation="0" wrapText="false" indent="0" shrinkToFit="false"/>
      <protection locked="true" hidden="false"/>
    </xf>
    <xf numFmtId="169" fontId="7" fillId="3" borderId="1" xfId="0" applyFont="true" applyBorder="true" applyAlignment="true" applyProtection="false">
      <alignment horizontal="general" vertical="bottom" textRotation="0" wrapText="false" indent="0" shrinkToFit="false"/>
      <protection locked="true" hidden="false"/>
    </xf>
    <xf numFmtId="169" fontId="7" fillId="4" borderId="1" xfId="0" applyFont="true" applyBorder="true" applyAlignment="tru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bottom" textRotation="0" wrapText="false" indent="0" shrinkToFit="false"/>
      <protection locked="true" hidden="false"/>
    </xf>
    <xf numFmtId="166" fontId="9" fillId="0"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7" fontId="9" fillId="0" borderId="1" xfId="0" applyFont="true" applyBorder="true" applyAlignment="true" applyProtection="false">
      <alignment horizontal="general" vertical="bottom" textRotation="0" wrapText="false" indent="0" shrinkToFit="false"/>
      <protection locked="true" hidden="false"/>
    </xf>
    <xf numFmtId="169" fontId="9" fillId="0" borderId="1" xfId="0" applyFont="true" applyBorder="true" applyAlignment="true" applyProtection="false">
      <alignment horizontal="general" vertical="bottom" textRotation="0" wrapText="false" indent="0" shrinkToFit="false"/>
      <protection locked="true" hidden="false"/>
    </xf>
    <xf numFmtId="168" fontId="9" fillId="0" borderId="1" xfId="0" applyFont="true" applyBorder="true" applyAlignment="tru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general" vertical="bottom" textRotation="0" wrapText="false" indent="0" shrinkToFit="false"/>
      <protection locked="true" hidden="false"/>
    </xf>
    <xf numFmtId="164" fontId="7" fillId="6" borderId="2" xfId="0" applyFont="true" applyBorder="true" applyAlignment="true" applyProtection="false">
      <alignment horizontal="general" vertical="top" textRotation="0" wrapText="true" indent="0" shrinkToFit="false"/>
      <protection locked="true" hidden="false"/>
    </xf>
    <xf numFmtId="168" fontId="7" fillId="0" borderId="1" xfId="0" applyFont="true" applyBorder="true" applyAlignment="true" applyProtection="false">
      <alignment horizontal="general" vertical="bottom" textRotation="0" wrapText="false" indent="0" shrinkToFit="false"/>
      <protection locked="true" hidden="false"/>
    </xf>
    <xf numFmtId="169" fontId="7" fillId="0" borderId="1"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CE4D6"/>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4472C4"/>
      <rgbColor rgb="FF33CCCC"/>
      <rgbColor rgb="FF99CC00"/>
      <rgbColor rgb="FFFFC0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10.xml.rels><?xml version="1.0" encoding="UTF-8"?>
<Relationships xmlns="http://schemas.openxmlformats.org/package/2006/relationships"><Relationship Id="rId1" Type="http://schemas.openxmlformats.org/officeDocument/2006/relationships/comments" Target="../comments10.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8"/>
    <col collapsed="false" customWidth="true" hidden="false" outlineLevel="0" max="2" min="2" style="1" width="110"/>
  </cols>
  <sheetData>
    <row r="1" customFormat="false" ht="17.25" hidden="false" customHeight="true" outlineLevel="0" collapsed="false">
      <c r="A1" s="2" t="s">
        <v>0</v>
      </c>
    </row>
    <row r="2" customFormat="false" ht="15" hidden="false" customHeight="true" outlineLevel="0" collapsed="false">
      <c r="A2" s="3" t="s">
        <v>1</v>
      </c>
    </row>
    <row r="4" customFormat="false" ht="45.75" hidden="false" customHeight="true" outlineLevel="0" collapsed="false">
      <c r="A4" s="4" t="s">
        <v>2</v>
      </c>
      <c r="B4" s="5" t="s">
        <v>3</v>
      </c>
    </row>
    <row r="5" customFormat="false" ht="45.75" hidden="false" customHeight="true" outlineLevel="0" collapsed="false">
      <c r="A5" s="4" t="s">
        <v>4</v>
      </c>
      <c r="B5" s="5" t="s">
        <v>5</v>
      </c>
    </row>
    <row r="6" customFormat="false" ht="45.75" hidden="false" customHeight="true" outlineLevel="0" collapsed="false">
      <c r="A6" s="4" t="s">
        <v>6</v>
      </c>
      <c r="B6" s="5" t="s">
        <v>7</v>
      </c>
    </row>
    <row r="7" customFormat="false" ht="45.75" hidden="false" customHeight="true" outlineLevel="0" collapsed="false">
      <c r="A7" s="4" t="s">
        <v>8</v>
      </c>
      <c r="B7" s="5" t="s">
        <v>9</v>
      </c>
    </row>
    <row r="8" customFormat="false" ht="45.75" hidden="false" customHeight="true" outlineLevel="0" collapsed="false">
      <c r="A8" s="4" t="s">
        <v>10</v>
      </c>
      <c r="B8" s="5" t="s">
        <v>11</v>
      </c>
    </row>
    <row r="9" customFormat="false" ht="45.75" hidden="false" customHeight="true" outlineLevel="0" collapsed="false">
      <c r="A9" s="4" t="s">
        <v>12</v>
      </c>
      <c r="B9" s="5" t="s">
        <v>13</v>
      </c>
    </row>
    <row r="10" customFormat="false" ht="45.75" hidden="false" customHeight="true" outlineLevel="0" collapsed="false">
      <c r="A10" s="4" t="s">
        <v>14</v>
      </c>
      <c r="B10" s="5" t="s">
        <v>15</v>
      </c>
    </row>
    <row r="11" customFormat="false" ht="45.75" hidden="false" customHeight="true" outlineLevel="0" collapsed="false">
      <c r="A11" s="4" t="s">
        <v>16</v>
      </c>
      <c r="B11" s="5" t="s">
        <v>17</v>
      </c>
    </row>
    <row r="12" customFormat="false" ht="45.75" hidden="false" customHeight="true" outlineLevel="0" collapsed="false">
      <c r="A12" s="4" t="s">
        <v>18</v>
      </c>
      <c r="B12" s="5"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A1:I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9"/>
    <col collapsed="false" customWidth="true" hidden="false" outlineLevel="0" max="2" min="2" style="1" width="12"/>
    <col collapsed="false" customWidth="true" hidden="false" outlineLevel="0" max="3" min="3" style="1" width="9"/>
    <col collapsed="false" customWidth="true" hidden="false" outlineLevel="0" max="5" min="4" style="1" width="16"/>
    <col collapsed="false" customWidth="true" hidden="false" outlineLevel="0" max="6" min="6" style="1" width="20"/>
    <col collapsed="false" customWidth="true" hidden="false" outlineLevel="0" max="7" min="7" style="1" width="14"/>
  </cols>
  <sheetData>
    <row r="1" customFormat="false" ht="17.25" hidden="false" customHeight="true" outlineLevel="0" collapsed="false">
      <c r="A1" s="2" t="s">
        <v>20</v>
      </c>
    </row>
    <row r="2" customFormat="false" ht="15" hidden="false" customHeight="true" outlineLevel="0" collapsed="false">
      <c r="A2" s="3" t="s">
        <v>21</v>
      </c>
    </row>
    <row r="4" customFormat="false" ht="15" hidden="false" customHeight="true" outlineLevel="0" collapsed="false">
      <c r="A4" s="6" t="s">
        <v>22</v>
      </c>
    </row>
    <row r="5" customFormat="false" ht="23.25" hidden="false" customHeight="true" outlineLevel="0" collapsed="false">
      <c r="A5" s="7" t="s">
        <v>23</v>
      </c>
      <c r="B5" s="7" t="s">
        <v>24</v>
      </c>
      <c r="C5" s="7" t="s">
        <v>25</v>
      </c>
      <c r="D5" s="7" t="s">
        <v>26</v>
      </c>
      <c r="E5" s="7" t="s">
        <v>27</v>
      </c>
      <c r="F5" s="7" t="s">
        <v>28</v>
      </c>
      <c r="G5" s="7" t="s">
        <v>29</v>
      </c>
    </row>
    <row r="6" customFormat="false" ht="15" hidden="false" customHeight="true" outlineLevel="0" collapsed="false">
      <c r="A6" s="8" t="n">
        <v>1001</v>
      </c>
      <c r="B6" s="8" t="s">
        <v>30</v>
      </c>
      <c r="C6" s="9" t="n">
        <v>120</v>
      </c>
      <c r="D6" s="10" t="n">
        <f aca="false">VLOOKUP(B6,Ref!$A$4:$B$6,2,FALSE())</f>
        <v>900</v>
      </c>
      <c r="E6" s="11"/>
      <c r="F6" s="10" t="n">
        <f aca="false">INDEX(Ref!$B$4:$B$6,MATCH(B6,Ref!$A$4:$A$6,0))</f>
        <v>900</v>
      </c>
      <c r="G6" s="10" t="n">
        <f aca="false">C6*F6</f>
        <v>108000</v>
      </c>
    </row>
    <row r="7" customFormat="false" ht="15" hidden="false" customHeight="true" outlineLevel="0" collapsed="false">
      <c r="A7" s="8" t="n">
        <v>1002</v>
      </c>
      <c r="B7" s="8" t="s">
        <v>31</v>
      </c>
      <c r="C7" s="9" t="n">
        <v>300</v>
      </c>
      <c r="D7" s="11"/>
      <c r="E7" s="11"/>
      <c r="F7" s="11"/>
      <c r="G7" s="11"/>
    </row>
    <row r="8" customFormat="false" ht="15" hidden="false" customHeight="true" outlineLevel="0" collapsed="false">
      <c r="A8" s="8" t="n">
        <v>1003</v>
      </c>
      <c r="B8" s="8" t="s">
        <v>32</v>
      </c>
      <c r="C8" s="9" t="n">
        <v>75</v>
      </c>
      <c r="D8" s="11"/>
      <c r="E8" s="11"/>
      <c r="F8" s="11"/>
      <c r="G8" s="11"/>
    </row>
    <row r="9" customFormat="false" ht="15" hidden="false" customHeight="true" outlineLevel="0" collapsed="false">
      <c r="A9" s="8" t="n">
        <v>1004</v>
      </c>
      <c r="B9" s="8" t="s">
        <v>30</v>
      </c>
      <c r="C9" s="9" t="n">
        <v>40</v>
      </c>
      <c r="D9" s="11"/>
      <c r="E9" s="11"/>
      <c r="F9" s="11"/>
      <c r="G9" s="11"/>
    </row>
    <row r="10" customFormat="false" ht="15" hidden="false" customHeight="true" outlineLevel="0" collapsed="false">
      <c r="A10" s="8" t="n">
        <v>1005</v>
      </c>
      <c r="B10" s="8" t="s">
        <v>32</v>
      </c>
      <c r="C10" s="9" t="n">
        <v>210</v>
      </c>
      <c r="D10" s="11"/>
      <c r="E10" s="11"/>
      <c r="F10" s="11"/>
      <c r="G10" s="11"/>
    </row>
    <row r="11" customFormat="false" ht="15" hidden="false" customHeight="true" outlineLevel="0" collapsed="false">
      <c r="A11" s="8" t="n">
        <v>1006</v>
      </c>
      <c r="B11" s="8" t="s">
        <v>31</v>
      </c>
      <c r="C11" s="9" t="n">
        <v>90</v>
      </c>
      <c r="D11" s="11"/>
      <c r="E11" s="11"/>
      <c r="F11" s="11"/>
      <c r="G11" s="11"/>
    </row>
    <row r="12" customFormat="false" ht="15" hidden="false" customHeight="true" outlineLevel="0" collapsed="false">
      <c r="F12" s="12" t="s">
        <v>33</v>
      </c>
      <c r="G12" s="11"/>
    </row>
    <row r="13" customFormat="false" ht="15" hidden="false" customHeight="true" outlineLevel="0" collapsed="false">
      <c r="A13" s="3" t="s">
        <v>34</v>
      </c>
    </row>
    <row r="15" customFormat="false" ht="15" hidden="false" customHeight="true" outlineLevel="0" collapsed="false">
      <c r="A15" s="6" t="s">
        <v>35</v>
      </c>
    </row>
    <row r="16" customFormat="false" ht="15" hidden="false" customHeight="true" outlineLevel="0" collapsed="false">
      <c r="A16" s="7" t="s">
        <v>36</v>
      </c>
      <c r="B16" s="7" t="s">
        <v>37</v>
      </c>
      <c r="C16" s="7"/>
      <c r="D16" s="7"/>
      <c r="E16" s="7"/>
      <c r="F16" s="7" t="s">
        <v>38</v>
      </c>
    </row>
    <row r="17" customFormat="false" ht="27.75" hidden="false" customHeight="true" outlineLevel="0" collapsed="false">
      <c r="A17" s="13" t="n">
        <v>1</v>
      </c>
      <c r="B17" s="14" t="s">
        <v>39</v>
      </c>
      <c r="C17" s="14"/>
      <c r="D17" s="14"/>
      <c r="E17" s="14"/>
      <c r="F17" s="15" t="n">
        <f aca="false">SUMIFS(Data!$E$2:$E$73,Data!$B$2:$B$73,"Carrier A")</f>
        <v>15573</v>
      </c>
    </row>
    <row r="18" customFormat="false" ht="27.75" hidden="false" customHeight="true" outlineLevel="0" collapsed="false">
      <c r="A18" s="13" t="n">
        <v>2</v>
      </c>
      <c r="B18" s="14" t="s">
        <v>40</v>
      </c>
      <c r="C18" s="14"/>
      <c r="D18" s="14"/>
      <c r="E18" s="14"/>
      <c r="F18" s="16"/>
    </row>
    <row r="19" customFormat="false" ht="27.75" hidden="false" customHeight="true" outlineLevel="0" collapsed="false">
      <c r="A19" s="13" t="n">
        <v>3</v>
      </c>
      <c r="B19" s="14" t="s">
        <v>41</v>
      </c>
      <c r="C19" s="14"/>
      <c r="D19" s="14"/>
      <c r="E19" s="14"/>
      <c r="F19" s="17"/>
    </row>
    <row r="20" customFormat="false" ht="27.75" hidden="false" customHeight="true" outlineLevel="0" collapsed="false">
      <c r="A20" s="13" t="n">
        <v>4</v>
      </c>
      <c r="B20" s="14" t="s">
        <v>42</v>
      </c>
      <c r="C20" s="14"/>
      <c r="D20" s="14"/>
      <c r="E20" s="14"/>
      <c r="F20" s="16"/>
    </row>
    <row r="21" customFormat="false" ht="27.75" hidden="false" customHeight="true" outlineLevel="0" collapsed="false">
      <c r="A21" s="13" t="n">
        <v>5</v>
      </c>
      <c r="B21" s="14" t="s">
        <v>43</v>
      </c>
      <c r="C21" s="14"/>
      <c r="D21" s="14"/>
      <c r="E21" s="14"/>
      <c r="F21" s="11"/>
    </row>
    <row r="23" customFormat="false" ht="15" hidden="false" customHeight="true" outlineLevel="0" collapsed="false">
      <c r="A23" s="6" t="s">
        <v>44</v>
      </c>
    </row>
    <row r="24" customFormat="false" ht="15" hidden="false" customHeight="true" outlineLevel="0" collapsed="false">
      <c r="A24" s="6" t="s">
        <v>45</v>
      </c>
    </row>
    <row r="25" customFormat="false" ht="48" hidden="false" customHeight="true" outlineLevel="0" collapsed="false">
      <c r="A25" s="18"/>
      <c r="B25" s="18"/>
      <c r="C25" s="18"/>
      <c r="D25" s="18"/>
      <c r="E25" s="18"/>
      <c r="F25" s="18"/>
      <c r="G25" s="18"/>
      <c r="H25" s="18"/>
      <c r="I25" s="18"/>
    </row>
    <row r="26" customFormat="false" ht="15" hidden="false" customHeight="true" outlineLevel="0" collapsed="false">
      <c r="A26" s="6" t="s">
        <v>46</v>
      </c>
    </row>
    <row r="27" customFormat="false" ht="48" hidden="false" customHeight="true" outlineLevel="0" collapsed="false">
      <c r="A27" s="18"/>
      <c r="B27" s="18"/>
      <c r="C27" s="18"/>
      <c r="D27" s="18"/>
      <c r="E27" s="18"/>
      <c r="F27" s="18"/>
      <c r="G27" s="18"/>
      <c r="H27" s="18"/>
      <c r="I27" s="18"/>
    </row>
    <row r="28" customFormat="false" ht="15" hidden="false" customHeight="true" outlineLevel="0" collapsed="false">
      <c r="A28" s="6" t="s">
        <v>47</v>
      </c>
    </row>
    <row r="29" customFormat="false" ht="48" hidden="false" customHeight="true" outlineLevel="0" collapsed="false">
      <c r="A29" s="18"/>
      <c r="B29" s="18"/>
      <c r="C29" s="18"/>
      <c r="D29" s="18"/>
      <c r="E29" s="18"/>
      <c r="F29" s="18"/>
      <c r="G29" s="18"/>
      <c r="H29" s="18"/>
      <c r="I29" s="18"/>
    </row>
  </sheetData>
  <mergeCells count="8">
    <mergeCell ref="B17:E17"/>
    <mergeCell ref="B18:E18"/>
    <mergeCell ref="B19:E19"/>
    <mergeCell ref="B20:E20"/>
    <mergeCell ref="B21:E21"/>
    <mergeCell ref="A25:I25"/>
    <mergeCell ref="A27:I27"/>
    <mergeCell ref="A29:I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A1:J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1" width="24"/>
    <col collapsed="false" customWidth="true" hidden="false" outlineLevel="0" max="2" min="2" style="1" width="28"/>
    <col collapsed="false" customWidth="true" hidden="false" outlineLevel="0" max="10" min="3" style="1" width="11"/>
  </cols>
  <sheetData>
    <row r="1" customFormat="false" ht="17.25" hidden="false" customHeight="true" outlineLevel="0" collapsed="false">
      <c r="A1" s="2" t="s">
        <v>48</v>
      </c>
    </row>
    <row r="2" customFormat="false" ht="15" hidden="false" customHeight="true" outlineLevel="0" collapsed="false">
      <c r="A2" s="3" t="s">
        <v>49</v>
      </c>
    </row>
    <row r="3" customFormat="false" ht="15" hidden="false" customHeight="true" outlineLevel="0" collapsed="false">
      <c r="A3" s="12" t="s">
        <v>50</v>
      </c>
      <c r="B3" s="19" t="s">
        <v>51</v>
      </c>
      <c r="D3" s="3" t="s">
        <v>52</v>
      </c>
    </row>
    <row r="4" customFormat="false" ht="15" hidden="false" customHeight="true" outlineLevel="0" collapsed="false">
      <c r="A4" s="12" t="s">
        <v>24</v>
      </c>
      <c r="B4" s="19" t="s">
        <v>30</v>
      </c>
    </row>
    <row r="5" customFormat="false" ht="15" hidden="false" customHeight="true" outlineLevel="0" collapsed="false">
      <c r="A5" s="12" t="s">
        <v>53</v>
      </c>
      <c r="B5" s="20" t="n">
        <f aca="false">SUMIFS(Ref!$D$10:$D$18,Ref!$A$10:$A$18,$B$3,Ref!$B$10:$B$18,$B$4)</f>
        <v>950</v>
      </c>
    </row>
    <row r="6" customFormat="false" ht="15" hidden="false" customHeight="true" outlineLevel="0" collapsed="false">
      <c r="A6" s="12" t="s">
        <v>54</v>
      </c>
      <c r="B6" s="21" t="n">
        <f aca="false">SUMIFS(Ref!$E$10:$E$18,Ref!$A$10:$A$18,$B$3,Ref!$B$10:$B$18,$B$4)</f>
        <v>4</v>
      </c>
    </row>
    <row r="7" customFormat="false" ht="15" hidden="false" customHeight="true" outlineLevel="0" collapsed="false">
      <c r="C7" s="3" t="n">
        <v>41</v>
      </c>
      <c r="D7" s="3" t="n">
        <v>42</v>
      </c>
      <c r="E7" s="3" t="n">
        <v>43</v>
      </c>
      <c r="F7" s="3" t="n">
        <v>44</v>
      </c>
      <c r="G7" s="3" t="n">
        <v>45</v>
      </c>
      <c r="H7" s="3" t="n">
        <v>46</v>
      </c>
      <c r="I7" s="3" t="n">
        <v>47</v>
      </c>
      <c r="J7" s="3" t="n">
        <v>48</v>
      </c>
    </row>
    <row r="8" customFormat="false" ht="15" hidden="false" customHeight="true" outlineLevel="0" collapsed="false">
      <c r="A8" s="7" t="s">
        <v>55</v>
      </c>
      <c r="B8" s="7" t="s">
        <v>56</v>
      </c>
      <c r="C8" s="7" t="s">
        <v>57</v>
      </c>
      <c r="D8" s="7" t="s">
        <v>58</v>
      </c>
      <c r="E8" s="7" t="s">
        <v>59</v>
      </c>
      <c r="F8" s="7" t="s">
        <v>60</v>
      </c>
      <c r="G8" s="7" t="s">
        <v>61</v>
      </c>
      <c r="H8" s="7" t="s">
        <v>62</v>
      </c>
      <c r="I8" s="7" t="s">
        <v>63</v>
      </c>
      <c r="J8" s="7" t="s">
        <v>64</v>
      </c>
    </row>
    <row r="9" customFormat="false" ht="25.5" hidden="false" customHeight="true" outlineLevel="0" collapsed="false">
      <c r="A9" s="12" t="s">
        <v>65</v>
      </c>
      <c r="B9" s="22" t="s">
        <v>66</v>
      </c>
      <c r="C9" s="23" t="n">
        <f aca="false">SUMIFS(Ref!$C$10:$C$18,Ref!$A$10:$A$18,$B$3,Ref!$B$10:$B$18,$B$4)</f>
        <v>3000</v>
      </c>
      <c r="D9" s="16"/>
      <c r="E9" s="16"/>
      <c r="F9" s="16"/>
      <c r="G9" s="16"/>
      <c r="H9" s="16"/>
      <c r="I9" s="16"/>
      <c r="J9" s="16"/>
    </row>
    <row r="10" customFormat="false" ht="25.5" hidden="false" customHeight="true" outlineLevel="0" collapsed="false">
      <c r="A10" s="12" t="s">
        <v>67</v>
      </c>
      <c r="B10" s="22" t="s">
        <v>68</v>
      </c>
      <c r="C10" s="15" t="n">
        <f aca="false">SUMIFS(Data!$D$2:$D$73,Data!$A$2:$A$73,C$7,Data!$B$2:$B$73,$B$3,Data!$C$2:$C$73,$B$4)</f>
        <v>1100</v>
      </c>
      <c r="D10" s="16"/>
      <c r="E10" s="16"/>
      <c r="F10" s="16"/>
      <c r="G10" s="16"/>
      <c r="H10" s="16"/>
      <c r="I10" s="16"/>
      <c r="J10" s="16"/>
    </row>
    <row r="11" customFormat="false" ht="25.5" hidden="false" customHeight="true" outlineLevel="0" collapsed="false">
      <c r="A11" s="12" t="s">
        <v>69</v>
      </c>
      <c r="B11" s="22" t="s">
        <v>70</v>
      </c>
      <c r="C11" s="15" t="n">
        <f aca="false">SUMIFS(Data!$E$2:$E$73,Data!$A$2:$A$73,C$7,Data!$B$2:$B$73,$B$3,Data!$C$2:$C$73,$B$4)</f>
        <v>1028</v>
      </c>
      <c r="D11" s="16"/>
      <c r="E11" s="16"/>
      <c r="F11" s="16"/>
      <c r="G11" s="16"/>
      <c r="H11" s="16"/>
      <c r="I11" s="16"/>
      <c r="J11" s="16"/>
    </row>
    <row r="12" customFormat="false" ht="25.5" hidden="false" customHeight="true" outlineLevel="0" collapsed="false">
      <c r="A12" s="12" t="s">
        <v>71</v>
      </c>
      <c r="B12" s="22" t="s">
        <v>72</v>
      </c>
      <c r="C12" s="15" t="n">
        <f aca="false">C9+C10-C11</f>
        <v>3072</v>
      </c>
      <c r="D12" s="16"/>
      <c r="E12" s="16"/>
      <c r="F12" s="16"/>
      <c r="G12" s="16"/>
      <c r="H12" s="16"/>
      <c r="I12" s="16"/>
      <c r="J12" s="16"/>
    </row>
    <row r="13" customFormat="false" ht="25.5" hidden="false" customHeight="true" outlineLevel="0" collapsed="false">
      <c r="A13" s="12" t="s">
        <v>73</v>
      </c>
      <c r="B13" s="22" t="s">
        <v>74</v>
      </c>
      <c r="C13" s="24" t="n">
        <f aca="false">IFERROR(C12/$B$5,0)</f>
        <v>3.23368421052632</v>
      </c>
      <c r="D13" s="25"/>
      <c r="E13" s="25"/>
      <c r="F13" s="25"/>
      <c r="G13" s="25"/>
      <c r="H13" s="25"/>
      <c r="I13" s="25"/>
      <c r="J13" s="25"/>
    </row>
    <row r="14" customFormat="false" ht="25.5" hidden="false" customHeight="true" outlineLevel="0" collapsed="false">
      <c r="A14" s="12" t="s">
        <v>75</v>
      </c>
      <c r="B14" s="22" t="s">
        <v>76</v>
      </c>
      <c r="C14" s="15" t="n">
        <f aca="false">$B$6*$B$5</f>
        <v>3800</v>
      </c>
      <c r="D14" s="16"/>
      <c r="E14" s="16"/>
      <c r="F14" s="16"/>
      <c r="G14" s="16"/>
      <c r="H14" s="16"/>
      <c r="I14" s="16"/>
      <c r="J14" s="16"/>
    </row>
    <row r="15" customFormat="false" ht="25.5" hidden="false" customHeight="true" outlineLevel="0" collapsed="false">
      <c r="A15" s="12" t="s">
        <v>77</v>
      </c>
      <c r="B15" s="22" t="s">
        <v>78</v>
      </c>
      <c r="C15" s="15" t="n">
        <f aca="false">C12-C14</f>
        <v>-728</v>
      </c>
      <c r="D15" s="16"/>
      <c r="E15" s="16"/>
      <c r="F15" s="16"/>
      <c r="G15" s="16"/>
      <c r="H15" s="16"/>
      <c r="I15" s="16"/>
      <c r="J15" s="16"/>
    </row>
    <row r="16" customFormat="false" ht="25.5" hidden="false" customHeight="true" outlineLevel="0" collapsed="false">
      <c r="A16" s="12" t="s">
        <v>79</v>
      </c>
      <c r="B16" s="22" t="s">
        <v>80</v>
      </c>
      <c r="C16" s="26" t="str">
        <f aca="false">IF(C13&gt;$B$6*2,"Too high",IF(C13&lt;$B$6/2,"Too low","OK"))</f>
        <v>OK</v>
      </c>
      <c r="D16" s="27"/>
      <c r="E16" s="27"/>
      <c r="F16" s="27"/>
      <c r="G16" s="27"/>
      <c r="H16" s="27"/>
      <c r="I16" s="27"/>
      <c r="J16" s="27"/>
    </row>
    <row r="17" customFormat="false" ht="15" hidden="false" customHeight="true" outlineLevel="0" collapsed="false">
      <c r="A17" s="3" t="s">
        <v>81</v>
      </c>
    </row>
    <row r="19" customFormat="false" ht="15" hidden="false" customHeight="true" outlineLevel="0" collapsed="false">
      <c r="A19" s="6" t="s">
        <v>44</v>
      </c>
    </row>
    <row r="20" customFormat="false" ht="15" hidden="false" customHeight="true" outlineLevel="0" collapsed="false">
      <c r="A20" s="6" t="s">
        <v>82</v>
      </c>
    </row>
    <row r="21" customFormat="false" ht="48" hidden="false" customHeight="true" outlineLevel="0" collapsed="false">
      <c r="A21" s="18"/>
      <c r="B21" s="18"/>
      <c r="C21" s="18"/>
      <c r="D21" s="18"/>
      <c r="E21" s="18"/>
      <c r="F21" s="18"/>
      <c r="G21" s="18"/>
      <c r="H21" s="18"/>
      <c r="I21" s="18"/>
    </row>
    <row r="22" customFormat="false" ht="15" hidden="false" customHeight="true" outlineLevel="0" collapsed="false">
      <c r="A22" s="6" t="s">
        <v>83</v>
      </c>
    </row>
    <row r="23" customFormat="false" ht="48" hidden="false" customHeight="true" outlineLevel="0" collapsed="false">
      <c r="A23" s="18"/>
      <c r="B23" s="18"/>
      <c r="C23" s="18"/>
      <c r="D23" s="18"/>
      <c r="E23" s="18"/>
      <c r="F23" s="18"/>
      <c r="G23" s="18"/>
      <c r="H23" s="18"/>
      <c r="I23" s="18"/>
    </row>
    <row r="24" customFormat="false" ht="15" hidden="false" customHeight="true" outlineLevel="0" collapsed="false">
      <c r="A24" s="6" t="s">
        <v>84</v>
      </c>
    </row>
    <row r="25" customFormat="false" ht="48" hidden="false" customHeight="true" outlineLevel="0" collapsed="false">
      <c r="A25" s="18"/>
      <c r="B25" s="18"/>
      <c r="C25" s="18"/>
      <c r="D25" s="18"/>
      <c r="E25" s="18"/>
      <c r="F25" s="18"/>
      <c r="G25" s="18"/>
      <c r="H25" s="18"/>
      <c r="I25" s="18"/>
    </row>
  </sheetData>
  <mergeCells count="3">
    <mergeCell ref="A21:I21"/>
    <mergeCell ref="A23:I23"/>
    <mergeCell ref="A25:I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A1:J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6"/>
    <col collapsed="false" customWidth="true" hidden="false" outlineLevel="0" max="2" min="2" style="1" width="13"/>
    <col collapsed="false" customWidth="true" hidden="false" outlineLevel="0" max="3" min="3" style="1" width="12"/>
    <col collapsed="false" customWidth="true" hidden="false" outlineLevel="0" max="4" min="4" style="1" width="13"/>
    <col collapsed="false" customWidth="true" hidden="false" outlineLevel="0" max="5" min="5" style="1" width="15"/>
    <col collapsed="false" customWidth="true" hidden="false" outlineLevel="0" max="6" min="6" style="1" width="17"/>
    <col collapsed="false" customWidth="true" hidden="false" outlineLevel="0" max="7" min="7" style="1" width="3"/>
    <col collapsed="false" customWidth="true" hidden="false" outlineLevel="0" max="8" min="8" style="1" width="22"/>
    <col collapsed="false" customWidth="true" hidden="false" outlineLevel="0" max="9" min="9" style="1" width="12"/>
    <col collapsed="false" customWidth="true" hidden="false" outlineLevel="0" max="10" min="10" style="1" width="36"/>
  </cols>
  <sheetData>
    <row r="1" customFormat="false" ht="17.25" hidden="false" customHeight="true" outlineLevel="0" collapsed="false">
      <c r="A1" s="2" t="s">
        <v>85</v>
      </c>
    </row>
    <row r="2" customFormat="false" ht="15" hidden="false" customHeight="true" outlineLevel="0" collapsed="false">
      <c r="A2" s="3" t="s">
        <v>86</v>
      </c>
    </row>
    <row r="5" customFormat="false" ht="15" hidden="false" customHeight="true" outlineLevel="0" collapsed="false">
      <c r="A5" s="7" t="s">
        <v>24</v>
      </c>
      <c r="B5" s="7" t="s">
        <v>87</v>
      </c>
      <c r="C5" s="7" t="s">
        <v>88</v>
      </c>
      <c r="D5" s="7" t="s">
        <v>89</v>
      </c>
      <c r="E5" s="7" t="s">
        <v>90</v>
      </c>
      <c r="F5" s="7" t="s">
        <v>91</v>
      </c>
      <c r="H5" s="7" t="s">
        <v>92</v>
      </c>
      <c r="I5" s="7" t="s">
        <v>93</v>
      </c>
      <c r="J5" s="7" t="s">
        <v>94</v>
      </c>
    </row>
    <row r="6" customFormat="false" ht="15" hidden="false" customHeight="true" outlineLevel="0" collapsed="false">
      <c r="A6" s="8" t="s">
        <v>95</v>
      </c>
      <c r="B6" s="9" t="n">
        <v>1000</v>
      </c>
      <c r="C6" s="9" t="n">
        <v>900</v>
      </c>
      <c r="D6" s="15" t="n">
        <f aca="false">B6-C6</f>
        <v>100</v>
      </c>
      <c r="E6" s="15" t="n">
        <f aca="false">ABS(D6)</f>
        <v>100</v>
      </c>
      <c r="F6" s="28" t="n">
        <f aca="false">IFERROR(E6/C6,0)</f>
        <v>0.111111111111111</v>
      </c>
      <c r="H6" s="12" t="s">
        <v>96</v>
      </c>
      <c r="I6" s="29"/>
      <c r="J6" s="30" t="s">
        <v>97</v>
      </c>
    </row>
    <row r="7" customFormat="false" ht="15" hidden="false" customHeight="true" outlineLevel="0" collapsed="false">
      <c r="A7" s="8" t="s">
        <v>98</v>
      </c>
      <c r="B7" s="9" t="n">
        <v>500</v>
      </c>
      <c r="C7" s="9" t="n">
        <v>600</v>
      </c>
      <c r="D7" s="16"/>
      <c r="E7" s="16"/>
      <c r="F7" s="29"/>
      <c r="H7" s="12" t="s">
        <v>99</v>
      </c>
      <c r="I7" s="29"/>
      <c r="J7" s="30" t="s">
        <v>100</v>
      </c>
    </row>
    <row r="8" customFormat="false" ht="15" hidden="false" customHeight="true" outlineLevel="0" collapsed="false">
      <c r="A8" s="8" t="s">
        <v>101</v>
      </c>
      <c r="B8" s="9" t="n">
        <v>800</v>
      </c>
      <c r="C8" s="9" t="n">
        <v>780</v>
      </c>
      <c r="D8" s="16"/>
      <c r="E8" s="16"/>
      <c r="F8" s="29"/>
      <c r="H8" s="12" t="s">
        <v>102</v>
      </c>
      <c r="I8" s="29"/>
      <c r="J8" s="30" t="s">
        <v>103</v>
      </c>
    </row>
    <row r="9" customFormat="false" ht="15" hidden="false" customHeight="true" outlineLevel="0" collapsed="false">
      <c r="A9" s="8" t="s">
        <v>104</v>
      </c>
      <c r="B9" s="9" t="n">
        <v>1200</v>
      </c>
      <c r="C9" s="9" t="n">
        <v>1000</v>
      </c>
      <c r="D9" s="16"/>
      <c r="E9" s="16"/>
      <c r="F9" s="29"/>
      <c r="H9" s="12" t="s">
        <v>105</v>
      </c>
      <c r="I9" s="29"/>
      <c r="J9" s="30" t="s">
        <v>106</v>
      </c>
    </row>
    <row r="10" customFormat="false" ht="15" hidden="false" customHeight="true" outlineLevel="0" collapsed="false">
      <c r="A10" s="8" t="s">
        <v>107</v>
      </c>
      <c r="B10" s="9" t="n">
        <v>300</v>
      </c>
      <c r="C10" s="9" t="n">
        <v>350</v>
      </c>
      <c r="D10" s="16"/>
      <c r="E10" s="16"/>
      <c r="F10" s="29"/>
      <c r="H10" s="12" t="s">
        <v>108</v>
      </c>
      <c r="I10" s="29"/>
      <c r="J10" s="30" t="s">
        <v>109</v>
      </c>
    </row>
    <row r="11" customFormat="false" ht="15" hidden="false" customHeight="true" outlineLevel="0" collapsed="false">
      <c r="A11" s="8" t="s">
        <v>110</v>
      </c>
      <c r="B11" s="9" t="n">
        <v>650</v>
      </c>
      <c r="C11" s="9" t="n">
        <v>640</v>
      </c>
      <c r="D11" s="16"/>
      <c r="E11" s="16"/>
      <c r="F11" s="29"/>
      <c r="H11" s="12" t="s">
        <v>111</v>
      </c>
      <c r="I11" s="29"/>
      <c r="J11" s="30" t="s">
        <v>112</v>
      </c>
    </row>
    <row r="12" customFormat="false" ht="15" hidden="false" customHeight="true" outlineLevel="0" collapsed="false">
      <c r="A12" s="8" t="s">
        <v>113</v>
      </c>
      <c r="B12" s="9" t="n">
        <v>150</v>
      </c>
      <c r="C12" s="9" t="n">
        <v>120</v>
      </c>
      <c r="D12" s="16"/>
      <c r="E12" s="16"/>
      <c r="F12" s="29"/>
    </row>
    <row r="13" customFormat="false" ht="15" hidden="false" customHeight="true" outlineLevel="0" collapsed="false">
      <c r="A13" s="8" t="s">
        <v>114</v>
      </c>
      <c r="B13" s="9" t="n">
        <v>20</v>
      </c>
      <c r="C13" s="9" t="n">
        <v>4</v>
      </c>
      <c r="D13" s="16"/>
      <c r="E13" s="16"/>
      <c r="F13" s="29"/>
    </row>
    <row r="14" customFormat="false" ht="15" hidden="false" customHeight="true" outlineLevel="0" collapsed="false">
      <c r="A14" s="12" t="s">
        <v>115</v>
      </c>
      <c r="B14" s="16"/>
      <c r="C14" s="16"/>
      <c r="D14" s="16"/>
      <c r="E14" s="16"/>
    </row>
    <row r="17" customFormat="false" ht="15" hidden="false" customHeight="true" outlineLevel="0" collapsed="false">
      <c r="A17" s="6" t="s">
        <v>44</v>
      </c>
    </row>
    <row r="18" customFormat="false" ht="15" hidden="false" customHeight="true" outlineLevel="0" collapsed="false">
      <c r="A18" s="6" t="s">
        <v>116</v>
      </c>
    </row>
    <row r="19" customFormat="false" ht="48" hidden="false" customHeight="true" outlineLevel="0" collapsed="false">
      <c r="A19" s="18"/>
      <c r="B19" s="18"/>
      <c r="C19" s="18"/>
      <c r="D19" s="18"/>
      <c r="E19" s="18"/>
      <c r="F19" s="18"/>
      <c r="G19" s="18"/>
      <c r="H19" s="18"/>
      <c r="I19" s="18"/>
    </row>
    <row r="20" customFormat="false" ht="15" hidden="false" customHeight="true" outlineLevel="0" collapsed="false">
      <c r="A20" s="6" t="s">
        <v>117</v>
      </c>
    </row>
    <row r="21" customFormat="false" ht="48" hidden="false" customHeight="true" outlineLevel="0" collapsed="false">
      <c r="A21" s="18"/>
      <c r="B21" s="18"/>
      <c r="C21" s="18"/>
      <c r="D21" s="18"/>
      <c r="E21" s="18"/>
      <c r="F21" s="18"/>
      <c r="G21" s="18"/>
      <c r="H21" s="18"/>
      <c r="I21" s="18"/>
    </row>
    <row r="22" customFormat="false" ht="15" hidden="false" customHeight="true" outlineLevel="0" collapsed="false">
      <c r="A22" s="6" t="s">
        <v>118</v>
      </c>
    </row>
    <row r="23" customFormat="false" ht="48" hidden="false" customHeight="true" outlineLevel="0" collapsed="false">
      <c r="A23" s="18"/>
      <c r="B23" s="18"/>
      <c r="C23" s="18"/>
      <c r="D23" s="18"/>
      <c r="E23" s="18"/>
      <c r="F23" s="18"/>
      <c r="G23" s="18"/>
      <c r="H23" s="18"/>
      <c r="I23" s="18"/>
    </row>
  </sheetData>
  <mergeCells count="3">
    <mergeCell ref="A19:I19"/>
    <mergeCell ref="A21:I21"/>
    <mergeCell ref="A23:I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A1:L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0"/>
    <col collapsed="false" customWidth="true" hidden="false" outlineLevel="0" max="4" min="3" style="1" width="14"/>
    <col collapsed="false" customWidth="true" hidden="false" outlineLevel="0" max="5" min="5" style="1" width="13"/>
    <col collapsed="false" customWidth="true" hidden="false" outlineLevel="0" max="6" min="6" style="1" width="9"/>
    <col collapsed="false" customWidth="true" hidden="false" outlineLevel="0" max="7" min="7" style="1" width="10"/>
    <col collapsed="false" customWidth="true" hidden="false" outlineLevel="0" max="8" min="8" style="1" width="13"/>
    <col collapsed="false" customWidth="true" hidden="false" outlineLevel="0" max="9" min="9" style="1" width="18"/>
    <col collapsed="false" customWidth="true" hidden="false" outlineLevel="0" max="10" min="10" style="1" width="3"/>
    <col collapsed="false" customWidth="true" hidden="false" outlineLevel="0" max="11" min="11" style="1" width="24"/>
    <col collapsed="false" customWidth="true" hidden="false" outlineLevel="0" max="12" min="12" style="1" width="14"/>
  </cols>
  <sheetData>
    <row r="1" customFormat="false" ht="17.25" hidden="false" customHeight="true" outlineLevel="0" collapsed="false">
      <c r="A1" s="2" t="s">
        <v>119</v>
      </c>
    </row>
    <row r="2" customFormat="false" ht="15" hidden="false" customHeight="true" outlineLevel="0" collapsed="false">
      <c r="A2" s="3" t="s">
        <v>120</v>
      </c>
    </row>
    <row r="5" customFormat="false" ht="23.25" hidden="false" customHeight="true" outlineLevel="0" collapsed="false">
      <c r="A5" s="7" t="s">
        <v>50</v>
      </c>
      <c r="B5" s="7" t="s">
        <v>24</v>
      </c>
      <c r="C5" s="7" t="s">
        <v>121</v>
      </c>
      <c r="D5" s="7" t="s">
        <v>122</v>
      </c>
      <c r="E5" s="7" t="s">
        <v>123</v>
      </c>
      <c r="F5" s="7" t="s">
        <v>124</v>
      </c>
      <c r="G5" s="7" t="s">
        <v>125</v>
      </c>
      <c r="H5" s="7" t="s">
        <v>126</v>
      </c>
      <c r="I5" s="7" t="s">
        <v>127</v>
      </c>
      <c r="K5" s="12" t="s">
        <v>128</v>
      </c>
    </row>
    <row r="6" customFormat="false" ht="15" hidden="false" customHeight="true" outlineLevel="0" collapsed="false">
      <c r="A6" s="8" t="s">
        <v>51</v>
      </c>
      <c r="B6" s="8" t="s">
        <v>30</v>
      </c>
      <c r="C6" s="9" t="n">
        <v>1200</v>
      </c>
      <c r="D6" s="9" t="n">
        <v>900</v>
      </c>
      <c r="E6" s="15" t="n">
        <f aca="false">D6-C6</f>
        <v>-300</v>
      </c>
      <c r="F6" s="28" t="n">
        <f aca="false">IFERROR(E6/C6,0)</f>
        <v>-0.25</v>
      </c>
      <c r="G6" s="10" t="n">
        <f aca="false">INDEX(Ref!$B$4:$B$6,MATCH(B6,Ref!$A$4:$A$6,0))</f>
        <v>900</v>
      </c>
      <c r="H6" s="10" t="n">
        <f aca="false">E6*G6</f>
        <v>-270000</v>
      </c>
      <c r="I6" s="26" t="str">
        <f aca="false">IF(ABS(E6)&gt;=200,"Explain in report","")</f>
        <v>Explain in report</v>
      </c>
      <c r="K6" s="13" t="s">
        <v>129</v>
      </c>
      <c r="L6" s="31" t="n">
        <v>3600000</v>
      </c>
    </row>
    <row r="7" customFormat="false" ht="15" hidden="false" customHeight="true" outlineLevel="0" collapsed="false">
      <c r="A7" s="8" t="s">
        <v>51</v>
      </c>
      <c r="B7" s="8" t="s">
        <v>32</v>
      </c>
      <c r="C7" s="9" t="n">
        <v>650</v>
      </c>
      <c r="D7" s="9" t="n">
        <v>700</v>
      </c>
      <c r="E7" s="16"/>
      <c r="F7" s="29"/>
      <c r="G7" s="11"/>
      <c r="H7" s="11"/>
      <c r="I7" s="27"/>
      <c r="K7" s="13" t="s">
        <v>130</v>
      </c>
      <c r="L7" s="11"/>
    </row>
    <row r="8" customFormat="false" ht="15" hidden="false" customHeight="true" outlineLevel="0" collapsed="false">
      <c r="A8" s="8" t="s">
        <v>51</v>
      </c>
      <c r="B8" s="8" t="s">
        <v>31</v>
      </c>
      <c r="C8" s="9" t="n">
        <v>300</v>
      </c>
      <c r="D8" s="9" t="n">
        <v>300</v>
      </c>
      <c r="E8" s="16"/>
      <c r="F8" s="29"/>
      <c r="G8" s="11"/>
      <c r="H8" s="11"/>
      <c r="I8" s="27"/>
      <c r="K8" s="13" t="s">
        <v>131</v>
      </c>
      <c r="L8" s="11"/>
    </row>
    <row r="9" customFormat="false" ht="15" hidden="false" customHeight="true" outlineLevel="0" collapsed="false">
      <c r="A9" s="8" t="s">
        <v>132</v>
      </c>
      <c r="B9" s="8" t="s">
        <v>30</v>
      </c>
      <c r="C9" s="9" t="n">
        <v>750</v>
      </c>
      <c r="D9" s="9" t="n">
        <v>800</v>
      </c>
      <c r="E9" s="16"/>
      <c r="F9" s="29"/>
      <c r="G9" s="11"/>
      <c r="H9" s="11"/>
      <c r="I9" s="27"/>
      <c r="K9" s="13" t="s">
        <v>133</v>
      </c>
      <c r="L9" s="11"/>
    </row>
    <row r="10" customFormat="false" ht="15" hidden="false" customHeight="true" outlineLevel="0" collapsed="false">
      <c r="A10" s="8" t="s">
        <v>132</v>
      </c>
      <c r="B10" s="8" t="s">
        <v>32</v>
      </c>
      <c r="C10" s="9" t="n">
        <v>520</v>
      </c>
      <c r="D10" s="9" t="n">
        <v>300</v>
      </c>
      <c r="E10" s="16"/>
      <c r="F10" s="29"/>
      <c r="G10" s="11"/>
      <c r="H10" s="11"/>
      <c r="I10" s="27"/>
      <c r="K10" s="13" t="s">
        <v>134</v>
      </c>
      <c r="L10" s="29"/>
    </row>
    <row r="11" customFormat="false" ht="15" hidden="false" customHeight="true" outlineLevel="0" collapsed="false">
      <c r="A11" s="8" t="s">
        <v>132</v>
      </c>
      <c r="B11" s="8" t="s">
        <v>31</v>
      </c>
      <c r="C11" s="9" t="n">
        <v>200</v>
      </c>
      <c r="D11" s="9" t="n">
        <v>210</v>
      </c>
      <c r="E11" s="16"/>
      <c r="F11" s="29"/>
      <c r="G11" s="11"/>
      <c r="H11" s="11"/>
      <c r="I11" s="27"/>
    </row>
    <row r="12" customFormat="false" ht="15" hidden="false" customHeight="true" outlineLevel="0" collapsed="false">
      <c r="A12" s="8" t="s">
        <v>135</v>
      </c>
      <c r="B12" s="8" t="s">
        <v>30</v>
      </c>
      <c r="C12" s="9" t="n">
        <v>420</v>
      </c>
      <c r="D12" s="9" t="n">
        <v>650</v>
      </c>
      <c r="E12" s="16"/>
      <c r="F12" s="29"/>
      <c r="G12" s="11"/>
      <c r="H12" s="11"/>
      <c r="I12" s="27"/>
    </row>
    <row r="13" customFormat="false" ht="15" hidden="false" customHeight="true" outlineLevel="0" collapsed="false">
      <c r="A13" s="8" t="s">
        <v>135</v>
      </c>
      <c r="B13" s="8" t="s">
        <v>32</v>
      </c>
      <c r="C13" s="9" t="n">
        <v>800</v>
      </c>
      <c r="D13" s="9" t="n">
        <v>820</v>
      </c>
      <c r="E13" s="16"/>
      <c r="F13" s="29"/>
      <c r="G13" s="11"/>
      <c r="H13" s="11"/>
      <c r="I13" s="27"/>
    </row>
    <row r="14" customFormat="false" ht="15" hidden="false" customHeight="true" outlineLevel="0" collapsed="false">
      <c r="A14" s="8" t="s">
        <v>135</v>
      </c>
      <c r="B14" s="8" t="s">
        <v>31</v>
      </c>
      <c r="C14" s="9" t="n">
        <v>150</v>
      </c>
      <c r="D14" s="9" t="n">
        <v>100</v>
      </c>
      <c r="E14" s="16"/>
      <c r="F14" s="29"/>
      <c r="G14" s="11"/>
      <c r="H14" s="11"/>
      <c r="I14" s="27"/>
    </row>
    <row r="15" customFormat="false" ht="15" hidden="false" customHeight="true" outlineLevel="0" collapsed="false">
      <c r="A15" s="12" t="s">
        <v>115</v>
      </c>
      <c r="C15" s="16"/>
      <c r="D15" s="16"/>
      <c r="E15" s="16"/>
      <c r="H15" s="11"/>
    </row>
    <row r="17" customFormat="false" ht="15" hidden="false" customHeight="true" outlineLevel="0" collapsed="false">
      <c r="A17" s="6" t="s">
        <v>136</v>
      </c>
    </row>
    <row r="18" customFormat="false" ht="15" hidden="false" customHeight="true" outlineLevel="0" collapsed="false">
      <c r="A18" s="32" t="s">
        <v>137</v>
      </c>
    </row>
    <row r="19" customFormat="false" ht="15" hidden="false" customHeight="true" outlineLevel="0" collapsed="false">
      <c r="A19" s="32" t="s">
        <v>138</v>
      </c>
    </row>
    <row r="20" customFormat="false" ht="15" hidden="false" customHeight="true" outlineLevel="0" collapsed="false">
      <c r="A20" s="32" t="s">
        <v>139</v>
      </c>
    </row>
    <row r="21" customFormat="false" ht="15" hidden="false" customHeight="true" outlineLevel="0" collapsed="false">
      <c r="A21" s="32" t="s">
        <v>140</v>
      </c>
      <c r="H21" s="20" t="n">
        <f aca="false">SUM(Data!$E$2:$E$73)</f>
        <v>37458</v>
      </c>
    </row>
    <row r="24" customFormat="false" ht="15" hidden="false" customHeight="true" outlineLevel="0" collapsed="false">
      <c r="A24" s="6" t="s">
        <v>44</v>
      </c>
    </row>
    <row r="25" customFormat="false" ht="15" hidden="false" customHeight="true" outlineLevel="0" collapsed="false">
      <c r="A25" s="6" t="s">
        <v>141</v>
      </c>
    </row>
    <row r="26" customFormat="false" ht="48" hidden="false" customHeight="true" outlineLevel="0" collapsed="false">
      <c r="A26" s="18"/>
      <c r="B26" s="18"/>
      <c r="C26" s="18"/>
      <c r="D26" s="18"/>
      <c r="E26" s="18"/>
      <c r="F26" s="18"/>
      <c r="G26" s="18"/>
      <c r="H26" s="18"/>
      <c r="I26" s="18"/>
    </row>
    <row r="27" customFormat="false" ht="15" hidden="false" customHeight="true" outlineLevel="0" collapsed="false">
      <c r="A27" s="6" t="s">
        <v>142</v>
      </c>
    </row>
    <row r="28" customFormat="false" ht="48" hidden="false" customHeight="true" outlineLevel="0" collapsed="false">
      <c r="A28" s="18"/>
      <c r="B28" s="18"/>
      <c r="C28" s="18"/>
      <c r="D28" s="18"/>
      <c r="E28" s="18"/>
      <c r="F28" s="18"/>
      <c r="G28" s="18"/>
      <c r="H28" s="18"/>
      <c r="I28" s="18"/>
    </row>
  </sheetData>
  <mergeCells count="2">
    <mergeCell ref="A26:I26"/>
    <mergeCell ref="A28:I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A1:I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6"/>
    <col collapsed="false" customWidth="true" hidden="false" outlineLevel="0" max="2" min="2" style="1" width="12"/>
    <col collapsed="false" customWidth="true" hidden="false" outlineLevel="0" max="3" min="3" style="1" width="14"/>
    <col collapsed="false" customWidth="true" hidden="false" outlineLevel="0" max="4" min="4" style="1" width="15"/>
    <col collapsed="false" customWidth="true" hidden="false" outlineLevel="0" max="5" min="5" style="1" width="12"/>
    <col collapsed="false" customWidth="true" hidden="false" outlineLevel="0" max="6" min="6" style="1" width="11"/>
    <col collapsed="false" customWidth="true" hidden="false" outlineLevel="0" max="7" min="7" style="1" width="15"/>
    <col collapsed="false" customWidth="true" hidden="false" outlineLevel="0" max="8" min="8" style="1" width="14"/>
    <col collapsed="false" customWidth="true" hidden="false" outlineLevel="0" max="9" min="9" style="1" width="18"/>
  </cols>
  <sheetData>
    <row r="1" customFormat="false" ht="17.25" hidden="false" customHeight="true" outlineLevel="0" collapsed="false">
      <c r="A1" s="2" t="s">
        <v>143</v>
      </c>
    </row>
    <row r="2" customFormat="false" ht="15" hidden="false" customHeight="true" outlineLevel="0" collapsed="false">
      <c r="A2" s="3" t="s">
        <v>144</v>
      </c>
    </row>
    <row r="5" customFormat="false" ht="23.25" hidden="false" customHeight="true" outlineLevel="0" collapsed="false">
      <c r="A5" s="7" t="s">
        <v>145</v>
      </c>
      <c r="B5" s="7" t="s">
        <v>146</v>
      </c>
      <c r="C5" s="7" t="s">
        <v>147</v>
      </c>
      <c r="D5" s="7" t="s">
        <v>148</v>
      </c>
      <c r="E5" s="7" t="s">
        <v>149</v>
      </c>
      <c r="F5" s="7" t="s">
        <v>150</v>
      </c>
      <c r="G5" s="7" t="s">
        <v>151</v>
      </c>
      <c r="H5" s="7" t="s">
        <v>152</v>
      </c>
      <c r="I5" s="7" t="s">
        <v>153</v>
      </c>
    </row>
    <row r="6" customFormat="false" ht="15" hidden="false" customHeight="true" outlineLevel="0" collapsed="false">
      <c r="A6" s="8" t="s">
        <v>154</v>
      </c>
      <c r="B6" s="9" t="n">
        <v>1200</v>
      </c>
      <c r="C6" s="9" t="n">
        <v>100</v>
      </c>
      <c r="D6" s="33" t="n">
        <v>75</v>
      </c>
      <c r="E6" s="24" t="n">
        <f aca="false">IFERROR(B6/C6,0)</f>
        <v>12</v>
      </c>
      <c r="F6" s="26" t="str">
        <f aca="false">IF(D6&lt;=30,"0-30",IF(D6&lt;=60,"31-60",IF(D6&lt;=90,"61-90","90+")))</f>
        <v>61-90</v>
      </c>
      <c r="G6" s="26" t="str">
        <f aca="false">IF(E6&gt;8,"Aging risk",IF(E6&lt;2,"Stock-out risk","OK"))</f>
        <v>Aging risk</v>
      </c>
      <c r="H6" s="15" t="n">
        <f aca="false">ROUND($C$12*C6,0)</f>
        <v>0</v>
      </c>
      <c r="I6" s="15" t="n">
        <f aca="false">B6-H6</f>
        <v>1200</v>
      </c>
    </row>
    <row r="7" customFormat="false" ht="15" hidden="false" customHeight="true" outlineLevel="0" collapsed="false">
      <c r="A7" s="8" t="s">
        <v>155</v>
      </c>
      <c r="B7" s="9" t="n">
        <v>300</v>
      </c>
      <c r="C7" s="9" t="n">
        <v>250</v>
      </c>
      <c r="D7" s="33" t="n">
        <v>20</v>
      </c>
      <c r="E7" s="25"/>
      <c r="F7" s="27"/>
      <c r="G7" s="27"/>
      <c r="H7" s="16"/>
      <c r="I7" s="16"/>
    </row>
    <row r="8" customFormat="false" ht="15" hidden="false" customHeight="true" outlineLevel="0" collapsed="false">
      <c r="A8" s="8" t="s">
        <v>156</v>
      </c>
      <c r="B8" s="9" t="n">
        <v>900</v>
      </c>
      <c r="C8" s="9" t="n">
        <v>150</v>
      </c>
      <c r="D8" s="33" t="n">
        <v>95</v>
      </c>
      <c r="E8" s="25"/>
      <c r="F8" s="27"/>
      <c r="G8" s="27"/>
      <c r="H8" s="16"/>
      <c r="I8" s="16"/>
    </row>
    <row r="9" customFormat="false" ht="15" hidden="false" customHeight="true" outlineLevel="0" collapsed="false">
      <c r="A9" s="8" t="s">
        <v>157</v>
      </c>
      <c r="B9" s="9" t="n">
        <v>200</v>
      </c>
      <c r="C9" s="9" t="n">
        <v>200</v>
      </c>
      <c r="D9" s="33" t="n">
        <v>10</v>
      </c>
      <c r="E9" s="25"/>
      <c r="F9" s="27"/>
      <c r="G9" s="27"/>
      <c r="H9" s="16"/>
      <c r="I9" s="16"/>
    </row>
    <row r="10" customFormat="false" ht="15" hidden="false" customHeight="true" outlineLevel="0" collapsed="false">
      <c r="A10" s="12" t="s">
        <v>115</v>
      </c>
      <c r="B10" s="16"/>
      <c r="C10" s="16"/>
      <c r="I10" s="16"/>
    </row>
    <row r="12" customFormat="false" ht="15" hidden="false" customHeight="true" outlineLevel="0" collapsed="false">
      <c r="A12" s="12" t="s">
        <v>158</v>
      </c>
      <c r="B12" s="30" t="s">
        <v>159</v>
      </c>
      <c r="C12" s="25"/>
    </row>
    <row r="13" customFormat="false" ht="15" hidden="false" customHeight="true" outlineLevel="0" collapsed="false">
      <c r="A13" s="3" t="s">
        <v>160</v>
      </c>
    </row>
    <row r="15" customFormat="false" ht="15" hidden="false" customHeight="true" outlineLevel="0" collapsed="false">
      <c r="A15" s="6" t="s">
        <v>44</v>
      </c>
    </row>
    <row r="16" customFormat="false" ht="15" hidden="false" customHeight="true" outlineLevel="0" collapsed="false">
      <c r="A16" s="6" t="s">
        <v>161</v>
      </c>
    </row>
    <row r="17" customFormat="false" ht="48" hidden="false" customHeight="true" outlineLevel="0" collapsed="false">
      <c r="A17" s="18"/>
      <c r="B17" s="18"/>
      <c r="C17" s="18"/>
      <c r="D17" s="18"/>
      <c r="E17" s="18"/>
      <c r="F17" s="18"/>
      <c r="G17" s="18"/>
      <c r="H17" s="18"/>
      <c r="I17" s="18"/>
    </row>
    <row r="18" customFormat="false" ht="15" hidden="false" customHeight="true" outlineLevel="0" collapsed="false">
      <c r="A18" s="6" t="s">
        <v>162</v>
      </c>
    </row>
    <row r="19" customFormat="false" ht="48" hidden="false" customHeight="true" outlineLevel="0" collapsed="false">
      <c r="A19" s="18"/>
      <c r="B19" s="18"/>
      <c r="C19" s="18"/>
      <c r="D19" s="18"/>
      <c r="E19" s="18"/>
      <c r="F19" s="18"/>
      <c r="G19" s="18"/>
      <c r="H19" s="18"/>
      <c r="I19" s="18"/>
    </row>
  </sheetData>
  <mergeCells count="2">
    <mergeCell ref="A17:I17"/>
    <mergeCell ref="A19:I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A1:I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0"/>
    <col collapsed="false" customWidth="true" hidden="false" outlineLevel="0" max="2" min="2" style="1" width="15"/>
    <col collapsed="false" customWidth="true" hidden="false" outlineLevel="0" max="3" min="3" style="1" width="14"/>
    <col collapsed="false" customWidth="true" hidden="false" outlineLevel="0" max="4" min="4" style="1" width="12"/>
    <col collapsed="false" customWidth="true" hidden="false" outlineLevel="0" max="6" min="5" style="1" width="15"/>
    <col collapsed="false" customWidth="true" hidden="false" outlineLevel="0" max="7" min="7" style="1" width="16"/>
    <col collapsed="false" customWidth="true" hidden="false" outlineLevel="0" max="8" min="8" style="1" width="30"/>
  </cols>
  <sheetData>
    <row r="1" customFormat="false" ht="17.25" hidden="false" customHeight="true" outlineLevel="0" collapsed="false">
      <c r="A1" s="2" t="s">
        <v>163</v>
      </c>
    </row>
    <row r="2" customFormat="false" ht="15" hidden="false" customHeight="true" outlineLevel="0" collapsed="false">
      <c r="A2" s="3" t="s">
        <v>164</v>
      </c>
    </row>
    <row r="4" customFormat="false" ht="15" hidden="false" customHeight="true" outlineLevel="0" collapsed="false">
      <c r="A4" s="6" t="s">
        <v>165</v>
      </c>
    </row>
    <row r="5" customFormat="false" ht="23.25" hidden="false" customHeight="true" outlineLevel="0" collapsed="false">
      <c r="A5" s="7" t="s">
        <v>24</v>
      </c>
      <c r="B5" s="7" t="s">
        <v>166</v>
      </c>
      <c r="C5" s="7" t="s">
        <v>167</v>
      </c>
      <c r="D5" s="7" t="s">
        <v>168</v>
      </c>
      <c r="E5" s="7" t="s">
        <v>169</v>
      </c>
      <c r="F5" s="7" t="s">
        <v>170</v>
      </c>
      <c r="G5" s="7" t="s">
        <v>171</v>
      </c>
      <c r="H5" s="7" t="s">
        <v>172</v>
      </c>
    </row>
    <row r="6" customFormat="false" ht="15" hidden="false" customHeight="true" outlineLevel="0" collapsed="false">
      <c r="A6" s="8" t="s">
        <v>30</v>
      </c>
      <c r="B6" s="9" t="n">
        <v>5000</v>
      </c>
      <c r="C6" s="9" t="n">
        <v>4600</v>
      </c>
      <c r="D6" s="15" t="n">
        <f aca="false">B6-C6</f>
        <v>400</v>
      </c>
      <c r="E6" s="9" t="n">
        <v>300</v>
      </c>
      <c r="F6" s="9" t="n">
        <v>100</v>
      </c>
      <c r="G6" s="15" t="n">
        <f aca="false">D6-E6-F6</f>
        <v>0</v>
      </c>
      <c r="H6" s="26" t="str">
        <f aca="false">IF(G6=0,"Reconciled","Investigate")</f>
        <v>Reconciled</v>
      </c>
    </row>
    <row r="7" customFormat="false" ht="15" hidden="false" customHeight="true" outlineLevel="0" collapsed="false">
      <c r="A7" s="8" t="s">
        <v>32</v>
      </c>
      <c r="B7" s="9" t="n">
        <v>3200</v>
      </c>
      <c r="C7" s="9" t="n">
        <v>3050</v>
      </c>
      <c r="D7" s="16"/>
      <c r="E7" s="9" t="n">
        <v>150</v>
      </c>
      <c r="F7" s="9" t="n">
        <v>0</v>
      </c>
      <c r="G7" s="16"/>
      <c r="H7" s="27"/>
    </row>
    <row r="8" customFormat="false" ht="15" hidden="false" customHeight="true" outlineLevel="0" collapsed="false">
      <c r="A8" s="8" t="s">
        <v>31</v>
      </c>
      <c r="B8" s="9" t="n">
        <v>1800</v>
      </c>
      <c r="C8" s="9" t="n">
        <v>1500</v>
      </c>
      <c r="D8" s="16"/>
      <c r="E8" s="9" t="n">
        <v>120</v>
      </c>
      <c r="F8" s="9" t="n">
        <v>30</v>
      </c>
      <c r="G8" s="16"/>
      <c r="H8" s="27"/>
    </row>
    <row r="11" customFormat="false" ht="15" hidden="false" customHeight="true" outlineLevel="0" collapsed="false">
      <c r="A11" s="6" t="s">
        <v>173</v>
      </c>
    </row>
    <row r="12" customFormat="false" ht="23.25" hidden="false" customHeight="true" outlineLevel="0" collapsed="false">
      <c r="A12" s="7" t="s">
        <v>174</v>
      </c>
      <c r="B12" s="7" t="s">
        <v>175</v>
      </c>
      <c r="C12" s="7" t="s">
        <v>176</v>
      </c>
      <c r="D12" s="7" t="s">
        <v>177</v>
      </c>
      <c r="E12" s="7" t="s">
        <v>178</v>
      </c>
      <c r="F12" s="7" t="s">
        <v>179</v>
      </c>
      <c r="G12" s="7" t="s">
        <v>180</v>
      </c>
      <c r="H12" s="7" t="s">
        <v>181</v>
      </c>
    </row>
    <row r="13" customFormat="false" ht="15" hidden="false" customHeight="true" outlineLevel="0" collapsed="false">
      <c r="A13" s="8" t="n">
        <v>44</v>
      </c>
      <c r="B13" s="9" t="n">
        <v>2800</v>
      </c>
      <c r="C13" s="34" t="n">
        <v>0.1</v>
      </c>
      <c r="D13" s="15" t="n">
        <f aca="false">ROUND(B13*(1+C13),0)</f>
        <v>3080</v>
      </c>
      <c r="E13" s="9" t="n">
        <v>2300</v>
      </c>
      <c r="F13" s="15" t="n">
        <f aca="false">D13-E13</f>
        <v>780</v>
      </c>
      <c r="G13" s="10" t="n">
        <f aca="false">IF(F13&gt;0,F13*900,0)</f>
        <v>702000</v>
      </c>
      <c r="H13" s="26" t="str">
        <f aca="false">IF(F13&gt;0,"Short: expedite, reallocate or flag",IF(-F13&gt;0.1*D13,"Surplus: reduce or delay next PO","On plan"))</f>
        <v>Short: expedite, reallocate or flag</v>
      </c>
    </row>
    <row r="14" customFormat="false" ht="15" hidden="false" customHeight="true" outlineLevel="0" collapsed="false">
      <c r="A14" s="8" t="n">
        <v>45</v>
      </c>
      <c r="B14" s="9" t="n">
        <v>2600</v>
      </c>
      <c r="C14" s="34" t="n">
        <v>0.1</v>
      </c>
      <c r="D14" s="16"/>
      <c r="E14" s="9" t="n">
        <v>2900</v>
      </c>
      <c r="F14" s="16"/>
      <c r="G14" s="11"/>
      <c r="H14" s="27"/>
    </row>
    <row r="15" customFormat="false" ht="15" hidden="false" customHeight="true" outlineLevel="0" collapsed="false">
      <c r="A15" s="8" t="n">
        <v>46</v>
      </c>
      <c r="B15" s="9" t="n">
        <v>2500</v>
      </c>
      <c r="C15" s="34" t="n">
        <v>0.05</v>
      </c>
      <c r="D15" s="16"/>
      <c r="E15" s="9" t="n">
        <v>3400</v>
      </c>
      <c r="F15" s="16"/>
      <c r="G15" s="11"/>
      <c r="H15" s="27"/>
    </row>
    <row r="16" customFormat="false" ht="15" hidden="false" customHeight="true" outlineLevel="0" collapsed="false">
      <c r="A16" s="8" t="n">
        <v>47</v>
      </c>
      <c r="B16" s="9" t="n">
        <v>2400</v>
      </c>
      <c r="C16" s="34" t="n">
        <v>0.05</v>
      </c>
      <c r="D16" s="16"/>
      <c r="E16" s="9" t="n">
        <v>2500</v>
      </c>
      <c r="F16" s="16"/>
      <c r="G16" s="11"/>
      <c r="H16" s="27"/>
    </row>
    <row r="17" customFormat="false" ht="15" hidden="false" customHeight="true" outlineLevel="0" collapsed="false">
      <c r="A17" s="3" t="s">
        <v>182</v>
      </c>
    </row>
    <row r="19" customFormat="false" ht="15" hidden="false" customHeight="true" outlineLevel="0" collapsed="false">
      <c r="A19" s="6" t="s">
        <v>44</v>
      </c>
    </row>
    <row r="20" customFormat="false" ht="15" hidden="false" customHeight="true" outlineLevel="0" collapsed="false">
      <c r="A20" s="6" t="s">
        <v>183</v>
      </c>
    </row>
    <row r="21" customFormat="false" ht="48" hidden="false" customHeight="true" outlineLevel="0" collapsed="false">
      <c r="A21" s="18"/>
      <c r="B21" s="18"/>
      <c r="C21" s="18"/>
      <c r="D21" s="18"/>
      <c r="E21" s="18"/>
      <c r="F21" s="18"/>
      <c r="G21" s="18"/>
      <c r="H21" s="18"/>
      <c r="I21" s="18"/>
    </row>
    <row r="22" customFormat="false" ht="15" hidden="false" customHeight="true" outlineLevel="0" collapsed="false">
      <c r="A22" s="6" t="s">
        <v>184</v>
      </c>
    </row>
    <row r="23" customFormat="false" ht="48" hidden="false" customHeight="true" outlineLevel="0" collapsed="false">
      <c r="A23" s="18"/>
      <c r="B23" s="18"/>
      <c r="C23" s="18"/>
      <c r="D23" s="18"/>
      <c r="E23" s="18"/>
      <c r="F23" s="18"/>
      <c r="G23" s="18"/>
      <c r="H23" s="18"/>
      <c r="I23" s="18"/>
    </row>
  </sheetData>
  <mergeCells count="2">
    <mergeCell ref="A21:I21"/>
    <mergeCell ref="A23:I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472C4"/>
    <pageSetUpPr fitToPage="false"/>
  </sheetPr>
  <dimension ref="A1:G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8"/>
    <col collapsed="false" customWidth="true" hidden="false" outlineLevel="0" max="2" min="2" style="1" width="13"/>
    <col collapsed="false" customWidth="true" hidden="false" outlineLevel="0" max="3" min="3" style="1" width="11"/>
    <col collapsed="false" customWidth="true" hidden="false" outlineLevel="0" max="4" min="4" style="1" width="15"/>
    <col collapsed="false" customWidth="true" hidden="false" outlineLevel="0" max="5" min="5" style="1" width="19"/>
  </cols>
  <sheetData>
    <row r="1" customFormat="false" ht="15" hidden="false" customHeight="true" outlineLevel="0" collapsed="false">
      <c r="A1" s="7" t="s">
        <v>174</v>
      </c>
      <c r="B1" s="7" t="s">
        <v>50</v>
      </c>
      <c r="C1" s="7" t="s">
        <v>24</v>
      </c>
      <c r="D1" s="7" t="s">
        <v>185</v>
      </c>
      <c r="E1" s="7" t="s">
        <v>186</v>
      </c>
      <c r="G1" s="3" t="s">
        <v>187</v>
      </c>
    </row>
    <row r="2" customFormat="false" ht="15" hidden="false" customHeight="true" outlineLevel="0" collapsed="false">
      <c r="A2" s="8" t="n">
        <v>41</v>
      </c>
      <c r="B2" s="8" t="s">
        <v>51</v>
      </c>
      <c r="C2" s="8" t="s">
        <v>30</v>
      </c>
      <c r="D2" s="9" t="n">
        <v>1100</v>
      </c>
      <c r="E2" s="9" t="n">
        <v>1028</v>
      </c>
      <c r="G2" s="3" t="s">
        <v>188</v>
      </c>
    </row>
    <row r="3" customFormat="false" ht="15" hidden="false" customHeight="true" outlineLevel="0" collapsed="false">
      <c r="A3" s="8" t="n">
        <v>41</v>
      </c>
      <c r="B3" s="8" t="s">
        <v>51</v>
      </c>
      <c r="C3" s="8" t="s">
        <v>32</v>
      </c>
      <c r="D3" s="9" t="n">
        <v>600</v>
      </c>
      <c r="E3" s="9" t="n">
        <v>591</v>
      </c>
      <c r="G3" s="3" t="s">
        <v>189</v>
      </c>
    </row>
    <row r="4" customFormat="false" ht="15" hidden="false" customHeight="true" outlineLevel="0" collapsed="false">
      <c r="A4" s="8" t="n">
        <v>41</v>
      </c>
      <c r="B4" s="8" t="s">
        <v>51</v>
      </c>
      <c r="C4" s="8" t="s">
        <v>31</v>
      </c>
      <c r="D4" s="9" t="n">
        <v>250</v>
      </c>
      <c r="E4" s="9" t="n">
        <v>283</v>
      </c>
    </row>
    <row r="5" customFormat="false" ht="15" hidden="false" customHeight="true" outlineLevel="0" collapsed="false">
      <c r="A5" s="8" t="n">
        <v>41</v>
      </c>
      <c r="B5" s="8" t="s">
        <v>132</v>
      </c>
      <c r="C5" s="8" t="s">
        <v>30</v>
      </c>
      <c r="D5" s="9" t="n">
        <v>800</v>
      </c>
      <c r="E5" s="9" t="n">
        <v>764</v>
      </c>
    </row>
    <row r="6" customFormat="false" ht="15" hidden="false" customHeight="true" outlineLevel="0" collapsed="false">
      <c r="A6" s="8" t="n">
        <v>41</v>
      </c>
      <c r="B6" s="8" t="s">
        <v>132</v>
      </c>
      <c r="C6" s="8" t="s">
        <v>32</v>
      </c>
      <c r="D6" s="9" t="n">
        <v>650</v>
      </c>
      <c r="E6" s="9" t="n">
        <v>504</v>
      </c>
    </row>
    <row r="7" customFormat="false" ht="15" hidden="false" customHeight="true" outlineLevel="0" collapsed="false">
      <c r="A7" s="8" t="n">
        <v>41</v>
      </c>
      <c r="B7" s="8" t="s">
        <v>132</v>
      </c>
      <c r="C7" s="8" t="s">
        <v>31</v>
      </c>
      <c r="D7" s="9" t="n">
        <v>200</v>
      </c>
      <c r="E7" s="9" t="n">
        <v>208</v>
      </c>
    </row>
    <row r="8" customFormat="false" ht="15" hidden="false" customHeight="true" outlineLevel="0" collapsed="false">
      <c r="A8" s="8" t="n">
        <v>41</v>
      </c>
      <c r="B8" s="8" t="s">
        <v>135</v>
      </c>
      <c r="C8" s="8" t="s">
        <v>30</v>
      </c>
      <c r="D8" s="9" t="n">
        <v>450</v>
      </c>
      <c r="E8" s="9" t="n">
        <v>411</v>
      </c>
    </row>
    <row r="9" customFormat="false" ht="15" hidden="false" customHeight="true" outlineLevel="0" collapsed="false">
      <c r="A9" s="8" t="n">
        <v>41</v>
      </c>
      <c r="B9" s="8" t="s">
        <v>135</v>
      </c>
      <c r="C9" s="8" t="s">
        <v>32</v>
      </c>
      <c r="D9" s="9" t="n">
        <v>900</v>
      </c>
      <c r="E9" s="9" t="n">
        <v>747</v>
      </c>
    </row>
    <row r="10" customFormat="false" ht="15" hidden="false" customHeight="true" outlineLevel="0" collapsed="false">
      <c r="A10" s="8" t="n">
        <v>41</v>
      </c>
      <c r="B10" s="8" t="s">
        <v>135</v>
      </c>
      <c r="C10" s="8" t="s">
        <v>31</v>
      </c>
      <c r="D10" s="9" t="n">
        <v>150</v>
      </c>
      <c r="E10" s="9" t="n">
        <v>150</v>
      </c>
    </row>
    <row r="11" customFormat="false" ht="15" hidden="false" customHeight="true" outlineLevel="0" collapsed="false">
      <c r="A11" s="8" t="n">
        <v>42</v>
      </c>
      <c r="B11" s="8" t="s">
        <v>51</v>
      </c>
      <c r="C11" s="8" t="s">
        <v>30</v>
      </c>
      <c r="D11" s="9" t="n">
        <v>950</v>
      </c>
      <c r="E11" s="9" t="n">
        <v>905</v>
      </c>
    </row>
    <row r="12" customFormat="false" ht="15" hidden="false" customHeight="true" outlineLevel="0" collapsed="false">
      <c r="A12" s="8" t="n">
        <v>42</v>
      </c>
      <c r="B12" s="8" t="s">
        <v>51</v>
      </c>
      <c r="C12" s="8" t="s">
        <v>32</v>
      </c>
      <c r="D12" s="9" t="n">
        <v>550</v>
      </c>
      <c r="E12" s="9" t="n">
        <v>544</v>
      </c>
    </row>
    <row r="13" customFormat="false" ht="15" hidden="false" customHeight="true" outlineLevel="0" collapsed="false">
      <c r="A13" s="8" t="n">
        <v>42</v>
      </c>
      <c r="B13" s="8" t="s">
        <v>51</v>
      </c>
      <c r="C13" s="8" t="s">
        <v>31</v>
      </c>
      <c r="D13" s="9" t="n">
        <v>250</v>
      </c>
      <c r="E13" s="9" t="n">
        <v>305</v>
      </c>
    </row>
    <row r="14" customFormat="false" ht="15" hidden="false" customHeight="true" outlineLevel="0" collapsed="false">
      <c r="A14" s="8" t="n">
        <v>42</v>
      </c>
      <c r="B14" s="8" t="s">
        <v>132</v>
      </c>
      <c r="C14" s="8" t="s">
        <v>30</v>
      </c>
      <c r="D14" s="9" t="n">
        <v>700</v>
      </c>
      <c r="E14" s="9" t="n">
        <v>677</v>
      </c>
    </row>
    <row r="15" customFormat="false" ht="15" hidden="false" customHeight="true" outlineLevel="0" collapsed="false">
      <c r="A15" s="8" t="n">
        <v>42</v>
      </c>
      <c r="B15" s="8" t="s">
        <v>132</v>
      </c>
      <c r="C15" s="8" t="s">
        <v>32</v>
      </c>
      <c r="D15" s="9" t="n">
        <v>650</v>
      </c>
      <c r="E15" s="9" t="n">
        <v>547</v>
      </c>
    </row>
    <row r="16" customFormat="false" ht="15" hidden="false" customHeight="true" outlineLevel="0" collapsed="false">
      <c r="A16" s="8" t="n">
        <v>42</v>
      </c>
      <c r="B16" s="8" t="s">
        <v>132</v>
      </c>
      <c r="C16" s="8" t="s">
        <v>31</v>
      </c>
      <c r="D16" s="9" t="n">
        <v>200</v>
      </c>
      <c r="E16" s="9" t="n">
        <v>182</v>
      </c>
    </row>
    <row r="17" customFormat="false" ht="15" hidden="false" customHeight="true" outlineLevel="0" collapsed="false">
      <c r="A17" s="8" t="n">
        <v>42</v>
      </c>
      <c r="B17" s="8" t="s">
        <v>135</v>
      </c>
      <c r="C17" s="8" t="s">
        <v>30</v>
      </c>
      <c r="D17" s="9" t="n">
        <v>400</v>
      </c>
      <c r="E17" s="9" t="n">
        <v>389</v>
      </c>
    </row>
    <row r="18" customFormat="false" ht="15" hidden="false" customHeight="true" outlineLevel="0" collapsed="false">
      <c r="A18" s="8" t="n">
        <v>42</v>
      </c>
      <c r="B18" s="8" t="s">
        <v>135</v>
      </c>
      <c r="C18" s="8" t="s">
        <v>32</v>
      </c>
      <c r="D18" s="9" t="n">
        <v>900</v>
      </c>
      <c r="E18" s="9" t="n">
        <v>837</v>
      </c>
    </row>
    <row r="19" customFormat="false" ht="15" hidden="false" customHeight="true" outlineLevel="0" collapsed="false">
      <c r="A19" s="8" t="n">
        <v>42</v>
      </c>
      <c r="B19" s="8" t="s">
        <v>135</v>
      </c>
      <c r="C19" s="8" t="s">
        <v>31</v>
      </c>
      <c r="D19" s="9" t="n">
        <v>150</v>
      </c>
      <c r="E19" s="9" t="n">
        <v>138</v>
      </c>
    </row>
    <row r="20" customFormat="false" ht="15" hidden="false" customHeight="true" outlineLevel="0" collapsed="false">
      <c r="A20" s="8" t="n">
        <v>43</v>
      </c>
      <c r="B20" s="8" t="s">
        <v>51</v>
      </c>
      <c r="C20" s="8" t="s">
        <v>30</v>
      </c>
      <c r="D20" s="9" t="n">
        <v>1050</v>
      </c>
      <c r="E20" s="9" t="n">
        <v>955</v>
      </c>
    </row>
    <row r="21" customFormat="false" ht="15" hidden="false" customHeight="true" outlineLevel="0" collapsed="false">
      <c r="A21" s="8" t="n">
        <v>43</v>
      </c>
      <c r="B21" s="8" t="s">
        <v>51</v>
      </c>
      <c r="C21" s="8" t="s">
        <v>32</v>
      </c>
      <c r="D21" s="9" t="n">
        <v>600</v>
      </c>
      <c r="E21" s="9" t="n">
        <v>566</v>
      </c>
    </row>
    <row r="22" customFormat="false" ht="15" hidden="false" customHeight="true" outlineLevel="0" collapsed="false">
      <c r="A22" s="8" t="n">
        <v>43</v>
      </c>
      <c r="B22" s="8" t="s">
        <v>51</v>
      </c>
      <c r="C22" s="8" t="s">
        <v>31</v>
      </c>
      <c r="D22" s="9" t="n">
        <v>250</v>
      </c>
      <c r="E22" s="9" t="n">
        <v>319</v>
      </c>
    </row>
    <row r="23" customFormat="false" ht="15" hidden="false" customHeight="true" outlineLevel="0" collapsed="false">
      <c r="A23" s="8" t="n">
        <v>43</v>
      </c>
      <c r="B23" s="8" t="s">
        <v>132</v>
      </c>
      <c r="C23" s="8" t="s">
        <v>30</v>
      </c>
      <c r="D23" s="9" t="n">
        <v>800</v>
      </c>
      <c r="E23" s="9" t="n">
        <v>643</v>
      </c>
    </row>
    <row r="24" customFormat="false" ht="15" hidden="false" customHeight="true" outlineLevel="0" collapsed="false">
      <c r="A24" s="8" t="n">
        <v>43</v>
      </c>
      <c r="B24" s="8" t="s">
        <v>132</v>
      </c>
      <c r="C24" s="8" t="s">
        <v>32</v>
      </c>
      <c r="D24" s="9" t="n">
        <v>650</v>
      </c>
      <c r="E24" s="9" t="n">
        <v>488</v>
      </c>
    </row>
    <row r="25" customFormat="false" ht="15" hidden="false" customHeight="true" outlineLevel="0" collapsed="false">
      <c r="A25" s="8" t="n">
        <v>43</v>
      </c>
      <c r="B25" s="8" t="s">
        <v>132</v>
      </c>
      <c r="C25" s="8" t="s">
        <v>31</v>
      </c>
      <c r="D25" s="9" t="n">
        <v>200</v>
      </c>
      <c r="E25" s="9" t="n">
        <v>189</v>
      </c>
    </row>
    <row r="26" customFormat="false" ht="15" hidden="false" customHeight="true" outlineLevel="0" collapsed="false">
      <c r="A26" s="8" t="n">
        <v>43</v>
      </c>
      <c r="B26" s="8" t="s">
        <v>135</v>
      </c>
      <c r="C26" s="8" t="s">
        <v>30</v>
      </c>
      <c r="D26" s="9" t="n">
        <v>450</v>
      </c>
      <c r="E26" s="9" t="n">
        <v>390</v>
      </c>
    </row>
    <row r="27" customFormat="false" ht="15" hidden="false" customHeight="true" outlineLevel="0" collapsed="false">
      <c r="A27" s="8" t="n">
        <v>43</v>
      </c>
      <c r="B27" s="8" t="s">
        <v>135</v>
      </c>
      <c r="C27" s="8" t="s">
        <v>32</v>
      </c>
      <c r="D27" s="9" t="n">
        <v>750</v>
      </c>
      <c r="E27" s="9" t="n">
        <v>746</v>
      </c>
    </row>
    <row r="28" customFormat="false" ht="15" hidden="false" customHeight="true" outlineLevel="0" collapsed="false">
      <c r="A28" s="8" t="n">
        <v>43</v>
      </c>
      <c r="B28" s="8" t="s">
        <v>135</v>
      </c>
      <c r="C28" s="8" t="s">
        <v>31</v>
      </c>
      <c r="D28" s="9" t="n">
        <v>150</v>
      </c>
      <c r="E28" s="9" t="n">
        <v>127</v>
      </c>
    </row>
    <row r="29" customFormat="false" ht="15" hidden="false" customHeight="true" outlineLevel="0" collapsed="false">
      <c r="A29" s="8" t="n">
        <v>44</v>
      </c>
      <c r="B29" s="8" t="s">
        <v>51</v>
      </c>
      <c r="C29" s="8" t="s">
        <v>30</v>
      </c>
      <c r="D29" s="9" t="n">
        <v>950</v>
      </c>
      <c r="E29" s="9" t="n">
        <v>1600</v>
      </c>
    </row>
    <row r="30" customFormat="false" ht="15" hidden="false" customHeight="true" outlineLevel="0" collapsed="false">
      <c r="A30" s="8" t="n">
        <v>44</v>
      </c>
      <c r="B30" s="8" t="s">
        <v>51</v>
      </c>
      <c r="C30" s="8" t="s">
        <v>32</v>
      </c>
      <c r="D30" s="9" t="n">
        <v>650</v>
      </c>
      <c r="E30" s="9" t="n">
        <v>601</v>
      </c>
    </row>
    <row r="31" customFormat="false" ht="15" hidden="false" customHeight="true" outlineLevel="0" collapsed="false">
      <c r="A31" s="8" t="n">
        <v>44</v>
      </c>
      <c r="B31" s="8" t="s">
        <v>51</v>
      </c>
      <c r="C31" s="8" t="s">
        <v>31</v>
      </c>
      <c r="D31" s="9" t="n">
        <v>300</v>
      </c>
      <c r="E31" s="9" t="n">
        <v>270</v>
      </c>
    </row>
    <row r="32" customFormat="false" ht="15" hidden="false" customHeight="true" outlineLevel="0" collapsed="false">
      <c r="A32" s="8" t="n">
        <v>44</v>
      </c>
      <c r="B32" s="8" t="s">
        <v>132</v>
      </c>
      <c r="C32" s="8" t="s">
        <v>30</v>
      </c>
      <c r="D32" s="9" t="n">
        <v>800</v>
      </c>
      <c r="E32" s="9" t="n">
        <v>644</v>
      </c>
    </row>
    <row r="33" customFormat="false" ht="15" hidden="false" customHeight="true" outlineLevel="0" collapsed="false">
      <c r="A33" s="8" t="n">
        <v>44</v>
      </c>
      <c r="B33" s="8" t="s">
        <v>132</v>
      </c>
      <c r="C33" s="8" t="s">
        <v>32</v>
      </c>
      <c r="D33" s="9" t="n">
        <v>650</v>
      </c>
      <c r="E33" s="9" t="n">
        <v>505</v>
      </c>
    </row>
    <row r="34" customFormat="false" ht="15" hidden="false" customHeight="true" outlineLevel="0" collapsed="false">
      <c r="A34" s="8" t="n">
        <v>44</v>
      </c>
      <c r="B34" s="8" t="s">
        <v>132</v>
      </c>
      <c r="C34" s="8" t="s">
        <v>31</v>
      </c>
      <c r="D34" s="9" t="n">
        <v>200</v>
      </c>
      <c r="E34" s="9" t="n">
        <v>192</v>
      </c>
    </row>
    <row r="35" customFormat="false" ht="15" hidden="false" customHeight="true" outlineLevel="0" collapsed="false">
      <c r="A35" s="8" t="n">
        <v>44</v>
      </c>
      <c r="B35" s="8" t="s">
        <v>135</v>
      </c>
      <c r="C35" s="8" t="s">
        <v>30</v>
      </c>
      <c r="D35" s="9" t="n">
        <v>400</v>
      </c>
      <c r="E35" s="9" t="n">
        <v>377</v>
      </c>
    </row>
    <row r="36" customFormat="false" ht="15" hidden="false" customHeight="true" outlineLevel="0" collapsed="false">
      <c r="A36" s="8" t="n">
        <v>44</v>
      </c>
      <c r="B36" s="8" t="s">
        <v>135</v>
      </c>
      <c r="C36" s="8" t="s">
        <v>32</v>
      </c>
      <c r="D36" s="9" t="n">
        <v>700</v>
      </c>
      <c r="E36" s="9" t="n">
        <v>781</v>
      </c>
    </row>
    <row r="37" customFormat="false" ht="15" hidden="false" customHeight="true" outlineLevel="0" collapsed="false">
      <c r="A37" s="8" t="n">
        <v>44</v>
      </c>
      <c r="B37" s="8" t="s">
        <v>135</v>
      </c>
      <c r="C37" s="8" t="s">
        <v>31</v>
      </c>
      <c r="D37" s="9" t="n">
        <v>150</v>
      </c>
      <c r="E37" s="9" t="n">
        <v>117</v>
      </c>
    </row>
    <row r="38" customFormat="false" ht="15" hidden="false" customHeight="true" outlineLevel="0" collapsed="false">
      <c r="A38" s="8" t="n">
        <v>45</v>
      </c>
      <c r="B38" s="8" t="s">
        <v>51</v>
      </c>
      <c r="C38" s="8" t="s">
        <v>30</v>
      </c>
      <c r="D38" s="9" t="n">
        <v>1100</v>
      </c>
      <c r="E38" s="9" t="n">
        <v>1047</v>
      </c>
    </row>
    <row r="39" customFormat="false" ht="15" hidden="false" customHeight="true" outlineLevel="0" collapsed="false">
      <c r="A39" s="8" t="n">
        <v>45</v>
      </c>
      <c r="B39" s="8" t="s">
        <v>51</v>
      </c>
      <c r="C39" s="8" t="s">
        <v>32</v>
      </c>
      <c r="D39" s="9" t="n">
        <v>600</v>
      </c>
      <c r="E39" s="9" t="n">
        <v>543</v>
      </c>
    </row>
    <row r="40" customFormat="false" ht="15" hidden="false" customHeight="true" outlineLevel="0" collapsed="false">
      <c r="A40" s="8" t="n">
        <v>45</v>
      </c>
      <c r="B40" s="8" t="s">
        <v>51</v>
      </c>
      <c r="C40" s="8" t="s">
        <v>31</v>
      </c>
      <c r="D40" s="9" t="n">
        <v>350</v>
      </c>
      <c r="E40" s="9" t="n">
        <v>318</v>
      </c>
    </row>
    <row r="41" customFormat="false" ht="15" hidden="false" customHeight="true" outlineLevel="0" collapsed="false">
      <c r="A41" s="8" t="n">
        <v>45</v>
      </c>
      <c r="B41" s="8" t="s">
        <v>132</v>
      </c>
      <c r="C41" s="8" t="s">
        <v>30</v>
      </c>
      <c r="D41" s="9" t="n">
        <v>600</v>
      </c>
      <c r="E41" s="9" t="n">
        <v>749</v>
      </c>
    </row>
    <row r="42" customFormat="false" ht="15" hidden="false" customHeight="true" outlineLevel="0" collapsed="false">
      <c r="A42" s="8" t="n">
        <v>45</v>
      </c>
      <c r="B42" s="8" t="s">
        <v>132</v>
      </c>
      <c r="C42" s="8" t="s">
        <v>32</v>
      </c>
      <c r="D42" s="9" t="n">
        <v>650</v>
      </c>
      <c r="E42" s="9" t="n">
        <v>533</v>
      </c>
    </row>
    <row r="43" customFormat="false" ht="15" hidden="false" customHeight="true" outlineLevel="0" collapsed="false">
      <c r="A43" s="8" t="n">
        <v>45</v>
      </c>
      <c r="B43" s="8" t="s">
        <v>132</v>
      </c>
      <c r="C43" s="8" t="s">
        <v>31</v>
      </c>
      <c r="D43" s="9" t="n">
        <v>200</v>
      </c>
      <c r="E43" s="9" t="n">
        <v>183</v>
      </c>
    </row>
    <row r="44" customFormat="false" ht="15" hidden="false" customHeight="true" outlineLevel="0" collapsed="false">
      <c r="A44" s="8" t="n">
        <v>45</v>
      </c>
      <c r="B44" s="8" t="s">
        <v>135</v>
      </c>
      <c r="C44" s="8" t="s">
        <v>30</v>
      </c>
      <c r="D44" s="9" t="n">
        <v>350</v>
      </c>
      <c r="E44" s="9" t="n">
        <v>381</v>
      </c>
    </row>
    <row r="45" customFormat="false" ht="15" hidden="false" customHeight="true" outlineLevel="0" collapsed="false">
      <c r="A45" s="8" t="n">
        <v>45</v>
      </c>
      <c r="B45" s="8" t="s">
        <v>135</v>
      </c>
      <c r="C45" s="8" t="s">
        <v>32</v>
      </c>
      <c r="D45" s="9" t="n">
        <v>900</v>
      </c>
      <c r="E45" s="9" t="n">
        <v>878</v>
      </c>
    </row>
    <row r="46" customFormat="false" ht="15" hidden="false" customHeight="true" outlineLevel="0" collapsed="false">
      <c r="A46" s="8" t="n">
        <v>45</v>
      </c>
      <c r="B46" s="8" t="s">
        <v>135</v>
      </c>
      <c r="C46" s="8" t="s">
        <v>31</v>
      </c>
      <c r="D46" s="9" t="n">
        <v>150</v>
      </c>
      <c r="E46" s="9" t="n">
        <v>107</v>
      </c>
    </row>
    <row r="47" customFormat="false" ht="15" hidden="false" customHeight="true" outlineLevel="0" collapsed="false">
      <c r="A47" s="8" t="n">
        <v>46</v>
      </c>
      <c r="B47" s="8" t="s">
        <v>51</v>
      </c>
      <c r="C47" s="8" t="s">
        <v>30</v>
      </c>
      <c r="D47" s="9" t="n">
        <v>1000</v>
      </c>
      <c r="E47" s="9" t="n">
        <v>1035</v>
      </c>
    </row>
    <row r="48" customFormat="false" ht="15" hidden="false" customHeight="true" outlineLevel="0" collapsed="false">
      <c r="A48" s="8" t="n">
        <v>46</v>
      </c>
      <c r="B48" s="8" t="s">
        <v>51</v>
      </c>
      <c r="C48" s="8" t="s">
        <v>32</v>
      </c>
      <c r="D48" s="9" t="n">
        <v>550</v>
      </c>
      <c r="E48" s="9" t="n">
        <v>564</v>
      </c>
    </row>
    <row r="49" customFormat="false" ht="15" hidden="false" customHeight="true" outlineLevel="0" collapsed="false">
      <c r="A49" s="8" t="n">
        <v>46</v>
      </c>
      <c r="B49" s="8" t="s">
        <v>51</v>
      </c>
      <c r="C49" s="8" t="s">
        <v>31</v>
      </c>
      <c r="D49" s="9" t="n">
        <v>300</v>
      </c>
      <c r="E49" s="9" t="n">
        <v>312</v>
      </c>
    </row>
    <row r="50" customFormat="false" ht="15" hidden="false" customHeight="true" outlineLevel="0" collapsed="false">
      <c r="A50" s="8" t="n">
        <v>46</v>
      </c>
      <c r="B50" s="8" t="s">
        <v>132</v>
      </c>
      <c r="C50" s="8" t="s">
        <v>30</v>
      </c>
      <c r="D50" s="9" t="n">
        <v>750</v>
      </c>
      <c r="E50" s="9" t="n">
        <v>715</v>
      </c>
    </row>
    <row r="51" customFormat="false" ht="15" hidden="false" customHeight="true" outlineLevel="0" collapsed="false">
      <c r="A51" s="8" t="n">
        <v>46</v>
      </c>
      <c r="B51" s="8" t="s">
        <v>132</v>
      </c>
      <c r="C51" s="8" t="s">
        <v>32</v>
      </c>
      <c r="D51" s="9" t="n">
        <v>650</v>
      </c>
      <c r="E51" s="9" t="n">
        <v>512</v>
      </c>
    </row>
    <row r="52" customFormat="false" ht="15" hidden="false" customHeight="true" outlineLevel="0" collapsed="false">
      <c r="A52" s="8" t="n">
        <v>46</v>
      </c>
      <c r="B52" s="8" t="s">
        <v>132</v>
      </c>
      <c r="C52" s="8" t="s">
        <v>31</v>
      </c>
      <c r="D52" s="9" t="n">
        <v>200</v>
      </c>
      <c r="E52" s="9" t="n">
        <v>189</v>
      </c>
    </row>
    <row r="53" customFormat="false" ht="15" hidden="false" customHeight="true" outlineLevel="0" collapsed="false">
      <c r="A53" s="8" t="n">
        <v>46</v>
      </c>
      <c r="B53" s="8" t="s">
        <v>135</v>
      </c>
      <c r="C53" s="8" t="s">
        <v>30</v>
      </c>
      <c r="D53" s="9" t="n">
        <v>400</v>
      </c>
      <c r="E53" s="9" t="n">
        <v>435</v>
      </c>
    </row>
    <row r="54" customFormat="false" ht="15" hidden="false" customHeight="true" outlineLevel="0" collapsed="false">
      <c r="A54" s="8" t="n">
        <v>46</v>
      </c>
      <c r="B54" s="8" t="s">
        <v>135</v>
      </c>
      <c r="C54" s="8" t="s">
        <v>32</v>
      </c>
      <c r="D54" s="9" t="n">
        <v>900</v>
      </c>
      <c r="E54" s="9" t="n">
        <v>822</v>
      </c>
    </row>
    <row r="55" customFormat="false" ht="15" hidden="false" customHeight="true" outlineLevel="0" collapsed="false">
      <c r="A55" s="8" t="n">
        <v>46</v>
      </c>
      <c r="B55" s="8" t="s">
        <v>135</v>
      </c>
      <c r="C55" s="8" t="s">
        <v>31</v>
      </c>
      <c r="D55" s="9" t="n">
        <v>150</v>
      </c>
      <c r="E55" s="9" t="n">
        <v>99</v>
      </c>
    </row>
    <row r="56" customFormat="false" ht="15" hidden="false" customHeight="true" outlineLevel="0" collapsed="false">
      <c r="A56" s="8" t="n">
        <v>47</v>
      </c>
      <c r="B56" s="8" t="s">
        <v>51</v>
      </c>
      <c r="C56" s="8" t="s">
        <v>30</v>
      </c>
      <c r="D56" s="9" t="n">
        <v>950</v>
      </c>
      <c r="E56" s="9" t="n">
        <v>1078</v>
      </c>
    </row>
    <row r="57" customFormat="false" ht="15" hidden="false" customHeight="true" outlineLevel="0" collapsed="false">
      <c r="A57" s="8" t="n">
        <v>47</v>
      </c>
      <c r="B57" s="8" t="s">
        <v>51</v>
      </c>
      <c r="C57" s="8" t="s">
        <v>32</v>
      </c>
      <c r="D57" s="9" t="n">
        <v>700</v>
      </c>
      <c r="E57" s="9" t="n">
        <v>618</v>
      </c>
    </row>
    <row r="58" customFormat="false" ht="15" hidden="false" customHeight="true" outlineLevel="0" collapsed="false">
      <c r="A58" s="8" t="n">
        <v>47</v>
      </c>
      <c r="B58" s="8" t="s">
        <v>51</v>
      </c>
      <c r="C58" s="8" t="s">
        <v>31</v>
      </c>
      <c r="D58" s="9" t="n">
        <v>250</v>
      </c>
      <c r="E58" s="9" t="n">
        <v>290</v>
      </c>
    </row>
    <row r="59" customFormat="false" ht="15" hidden="false" customHeight="true" outlineLevel="0" collapsed="false">
      <c r="A59" s="8" t="n">
        <v>47</v>
      </c>
      <c r="B59" s="8" t="s">
        <v>132</v>
      </c>
      <c r="C59" s="8" t="s">
        <v>30</v>
      </c>
      <c r="D59" s="9" t="n">
        <v>750</v>
      </c>
      <c r="E59" s="9" t="n">
        <v>743</v>
      </c>
    </row>
    <row r="60" customFormat="false" ht="15" hidden="false" customHeight="true" outlineLevel="0" collapsed="false">
      <c r="A60" s="8" t="n">
        <v>47</v>
      </c>
      <c r="B60" s="8" t="s">
        <v>132</v>
      </c>
      <c r="C60" s="8" t="s">
        <v>32</v>
      </c>
      <c r="D60" s="9" t="n">
        <v>650</v>
      </c>
      <c r="E60" s="9" t="n">
        <v>536</v>
      </c>
    </row>
    <row r="61" customFormat="false" ht="15" hidden="false" customHeight="true" outlineLevel="0" collapsed="false">
      <c r="A61" s="8" t="n">
        <v>47</v>
      </c>
      <c r="B61" s="8" t="s">
        <v>132</v>
      </c>
      <c r="C61" s="8" t="s">
        <v>31</v>
      </c>
      <c r="D61" s="9" t="n">
        <v>200</v>
      </c>
      <c r="E61" s="9" t="n">
        <v>184</v>
      </c>
    </row>
    <row r="62" customFormat="false" ht="15" hidden="false" customHeight="true" outlineLevel="0" collapsed="false">
      <c r="A62" s="8" t="n">
        <v>47</v>
      </c>
      <c r="B62" s="8" t="s">
        <v>135</v>
      </c>
      <c r="C62" s="8" t="s">
        <v>30</v>
      </c>
      <c r="D62" s="9" t="n">
        <v>350</v>
      </c>
      <c r="E62" s="9" t="n">
        <v>412</v>
      </c>
    </row>
    <row r="63" customFormat="false" ht="15" hidden="false" customHeight="true" outlineLevel="0" collapsed="false">
      <c r="A63" s="8" t="n">
        <v>47</v>
      </c>
      <c r="B63" s="8" t="s">
        <v>135</v>
      </c>
      <c r="C63" s="8" t="s">
        <v>32</v>
      </c>
      <c r="D63" s="9" t="n">
        <v>700</v>
      </c>
      <c r="E63" s="9" t="n">
        <v>809</v>
      </c>
    </row>
    <row r="64" customFormat="false" ht="15" hidden="false" customHeight="true" outlineLevel="0" collapsed="false">
      <c r="A64" s="8" t="n">
        <v>47</v>
      </c>
      <c r="B64" s="8" t="s">
        <v>135</v>
      </c>
      <c r="C64" s="8" t="s">
        <v>31</v>
      </c>
      <c r="D64" s="9" t="n">
        <v>150</v>
      </c>
      <c r="E64" s="9" t="n">
        <v>91</v>
      </c>
    </row>
    <row r="65" customFormat="false" ht="15" hidden="false" customHeight="true" outlineLevel="0" collapsed="false">
      <c r="A65" s="8" t="n">
        <v>48</v>
      </c>
      <c r="B65" s="8" t="s">
        <v>51</v>
      </c>
      <c r="C65" s="8" t="s">
        <v>30</v>
      </c>
      <c r="D65" s="9" t="n">
        <v>900</v>
      </c>
      <c r="E65" s="9" t="n">
        <v>917</v>
      </c>
    </row>
    <row r="66" customFormat="false" ht="15" hidden="false" customHeight="true" outlineLevel="0" collapsed="false">
      <c r="A66" s="8" t="n">
        <v>48</v>
      </c>
      <c r="B66" s="8" t="s">
        <v>51</v>
      </c>
      <c r="C66" s="8" t="s">
        <v>32</v>
      </c>
      <c r="D66" s="9" t="n">
        <v>600</v>
      </c>
      <c r="E66" s="9" t="n">
        <v>605</v>
      </c>
    </row>
    <row r="67" customFormat="false" ht="15" hidden="false" customHeight="true" outlineLevel="0" collapsed="false">
      <c r="A67" s="8" t="n">
        <v>48</v>
      </c>
      <c r="B67" s="8" t="s">
        <v>51</v>
      </c>
      <c r="C67" s="8" t="s">
        <v>31</v>
      </c>
      <c r="D67" s="9" t="n">
        <v>300</v>
      </c>
      <c r="E67" s="9" t="n">
        <v>279</v>
      </c>
    </row>
    <row r="68" customFormat="false" ht="15" hidden="false" customHeight="true" outlineLevel="0" collapsed="false">
      <c r="A68" s="8" t="n">
        <v>48</v>
      </c>
      <c r="B68" s="8" t="s">
        <v>132</v>
      </c>
      <c r="C68" s="8" t="s">
        <v>30</v>
      </c>
      <c r="D68" s="9" t="n">
        <v>700</v>
      </c>
      <c r="E68" s="9" t="n">
        <v>732</v>
      </c>
    </row>
    <row r="69" customFormat="false" ht="15" hidden="false" customHeight="true" outlineLevel="0" collapsed="false">
      <c r="A69" s="8" t="n">
        <v>48</v>
      </c>
      <c r="B69" s="8" t="s">
        <v>132</v>
      </c>
      <c r="C69" s="8" t="s">
        <v>32</v>
      </c>
      <c r="D69" s="9" t="n">
        <v>650</v>
      </c>
      <c r="E69" s="9" t="n">
        <v>508</v>
      </c>
    </row>
    <row r="70" customFormat="false" ht="15" hidden="false" customHeight="true" outlineLevel="0" collapsed="false">
      <c r="A70" s="8" t="n">
        <v>48</v>
      </c>
      <c r="B70" s="8" t="s">
        <v>132</v>
      </c>
      <c r="C70" s="8" t="s">
        <v>31</v>
      </c>
      <c r="D70" s="9" t="n">
        <v>200</v>
      </c>
      <c r="E70" s="9" t="n">
        <v>191</v>
      </c>
    </row>
    <row r="71" customFormat="false" ht="15" hidden="false" customHeight="true" outlineLevel="0" collapsed="false">
      <c r="A71" s="8" t="n">
        <v>48</v>
      </c>
      <c r="B71" s="8" t="s">
        <v>135</v>
      </c>
      <c r="C71" s="8" t="s">
        <v>30</v>
      </c>
      <c r="D71" s="9" t="n">
        <v>450</v>
      </c>
      <c r="E71" s="9" t="n">
        <v>409</v>
      </c>
    </row>
    <row r="72" customFormat="false" ht="15" hidden="false" customHeight="true" outlineLevel="0" collapsed="false">
      <c r="A72" s="8" t="n">
        <v>48</v>
      </c>
      <c r="B72" s="8" t="s">
        <v>135</v>
      </c>
      <c r="C72" s="8" t="s">
        <v>32</v>
      </c>
      <c r="D72" s="9" t="n">
        <v>800</v>
      </c>
      <c r="E72" s="9" t="n">
        <v>830</v>
      </c>
    </row>
    <row r="73" customFormat="false" ht="15" hidden="false" customHeight="true" outlineLevel="0" collapsed="false">
      <c r="A73" s="8" t="n">
        <v>48</v>
      </c>
      <c r="B73" s="8" t="s">
        <v>135</v>
      </c>
      <c r="C73" s="8" t="s">
        <v>31</v>
      </c>
      <c r="D73" s="9" t="n">
        <v>150</v>
      </c>
      <c r="E73" s="9" t="n">
        <v>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472C4"/>
    <pageSetUpPr fitToPage="false"/>
  </sheetPr>
  <dimension ref="A1: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3"/>
    <col collapsed="false" customWidth="true" hidden="false" outlineLevel="0" max="2" min="2" style="1" width="11"/>
    <col collapsed="false" customWidth="true" hidden="false" outlineLevel="0" max="4" min="3" style="1" width="16"/>
    <col collapsed="false" customWidth="true" hidden="false" outlineLevel="0" max="5" min="5" style="1" width="14"/>
  </cols>
  <sheetData>
    <row r="1" customFormat="false" ht="17.25" hidden="false" customHeight="true" outlineLevel="0" collapsed="false">
      <c r="A1" s="2" t="s">
        <v>190</v>
      </c>
    </row>
    <row r="2" customFormat="false" ht="15" hidden="false" customHeight="true" outlineLevel="0" collapsed="false">
      <c r="A2" s="3" t="s">
        <v>191</v>
      </c>
    </row>
    <row r="3" customFormat="false" ht="15" hidden="false" customHeight="true" outlineLevel="0" collapsed="false">
      <c r="A3" s="7" t="s">
        <v>24</v>
      </c>
      <c r="B3" s="7" t="s">
        <v>125</v>
      </c>
    </row>
    <row r="4" customFormat="false" ht="15" hidden="false" customHeight="true" outlineLevel="0" collapsed="false">
      <c r="A4" s="8" t="s">
        <v>30</v>
      </c>
      <c r="B4" s="31" t="n">
        <v>900</v>
      </c>
      <c r="D4" s="3" t="s">
        <v>192</v>
      </c>
    </row>
    <row r="5" customFormat="false" ht="15" hidden="false" customHeight="true" outlineLevel="0" collapsed="false">
      <c r="A5" s="8" t="s">
        <v>32</v>
      </c>
      <c r="B5" s="31" t="n">
        <v>600</v>
      </c>
    </row>
    <row r="6" customFormat="false" ht="15" hidden="false" customHeight="true" outlineLevel="0" collapsed="false">
      <c r="A6" s="8" t="s">
        <v>31</v>
      </c>
      <c r="B6" s="31" t="n">
        <v>300</v>
      </c>
    </row>
    <row r="9" customFormat="false" ht="23.25" hidden="false" customHeight="true" outlineLevel="0" collapsed="false">
      <c r="A9" s="7" t="s">
        <v>50</v>
      </c>
      <c r="B9" s="7" t="s">
        <v>24</v>
      </c>
      <c r="C9" s="7" t="s">
        <v>193</v>
      </c>
      <c r="D9" s="7" t="s">
        <v>53</v>
      </c>
      <c r="E9" s="7" t="s">
        <v>54</v>
      </c>
    </row>
    <row r="10" customFormat="false" ht="15" hidden="false" customHeight="true" outlineLevel="0" collapsed="false">
      <c r="A10" s="8" t="s">
        <v>51</v>
      </c>
      <c r="B10" s="8" t="s">
        <v>30</v>
      </c>
      <c r="C10" s="9" t="n">
        <v>3000</v>
      </c>
      <c r="D10" s="9" t="n">
        <v>950</v>
      </c>
      <c r="E10" s="35" t="n">
        <v>4</v>
      </c>
    </row>
    <row r="11" customFormat="false" ht="15" hidden="false" customHeight="true" outlineLevel="0" collapsed="false">
      <c r="A11" s="8" t="s">
        <v>51</v>
      </c>
      <c r="B11" s="8" t="s">
        <v>32</v>
      </c>
      <c r="C11" s="9" t="n">
        <v>1800</v>
      </c>
      <c r="D11" s="9" t="n">
        <v>570</v>
      </c>
      <c r="E11" s="35" t="n">
        <v>4</v>
      </c>
    </row>
    <row r="12" customFormat="false" ht="15" hidden="false" customHeight="true" outlineLevel="0" collapsed="false">
      <c r="A12" s="8" t="s">
        <v>51</v>
      </c>
      <c r="B12" s="8" t="s">
        <v>31</v>
      </c>
      <c r="C12" s="9" t="n">
        <v>900</v>
      </c>
      <c r="D12" s="9" t="n">
        <v>280</v>
      </c>
      <c r="E12" s="35" t="n">
        <v>4</v>
      </c>
    </row>
    <row r="13" customFormat="false" ht="15" hidden="false" customHeight="true" outlineLevel="0" collapsed="false">
      <c r="A13" s="8" t="s">
        <v>132</v>
      </c>
      <c r="B13" s="8" t="s">
        <v>30</v>
      </c>
      <c r="C13" s="9" t="n">
        <v>2100</v>
      </c>
      <c r="D13" s="9" t="n">
        <v>660</v>
      </c>
      <c r="E13" s="35" t="n">
        <v>4</v>
      </c>
    </row>
    <row r="14" customFormat="false" ht="15" hidden="false" customHeight="true" outlineLevel="0" collapsed="false">
      <c r="A14" s="8" t="s">
        <v>132</v>
      </c>
      <c r="B14" s="8" t="s">
        <v>32</v>
      </c>
      <c r="C14" s="9" t="n">
        <v>1500</v>
      </c>
      <c r="D14" s="9" t="n">
        <v>480</v>
      </c>
      <c r="E14" s="35" t="n">
        <v>4</v>
      </c>
    </row>
    <row r="15" customFormat="false" ht="15" hidden="false" customHeight="true" outlineLevel="0" collapsed="false">
      <c r="A15" s="8" t="s">
        <v>132</v>
      </c>
      <c r="B15" s="8" t="s">
        <v>31</v>
      </c>
      <c r="C15" s="9" t="n">
        <v>600</v>
      </c>
      <c r="D15" s="9" t="n">
        <v>190</v>
      </c>
      <c r="E15" s="35" t="n">
        <v>4</v>
      </c>
    </row>
    <row r="16" customFormat="false" ht="15" hidden="false" customHeight="true" outlineLevel="0" collapsed="false">
      <c r="A16" s="8" t="s">
        <v>135</v>
      </c>
      <c r="B16" s="8" t="s">
        <v>30</v>
      </c>
      <c r="C16" s="9" t="n">
        <v>1200</v>
      </c>
      <c r="D16" s="9" t="n">
        <v>380</v>
      </c>
      <c r="E16" s="35" t="n">
        <v>4</v>
      </c>
    </row>
    <row r="17" customFormat="false" ht="15" hidden="false" customHeight="true" outlineLevel="0" collapsed="false">
      <c r="A17" s="8" t="s">
        <v>135</v>
      </c>
      <c r="B17" s="8" t="s">
        <v>32</v>
      </c>
      <c r="C17" s="9" t="n">
        <v>2400</v>
      </c>
      <c r="D17" s="9" t="n">
        <v>760</v>
      </c>
      <c r="E17" s="35" t="n">
        <v>4</v>
      </c>
    </row>
    <row r="18" customFormat="false" ht="15" hidden="false" customHeight="true" outlineLevel="0" collapsed="false">
      <c r="A18" s="8" t="s">
        <v>135</v>
      </c>
      <c r="B18" s="8" t="s">
        <v>31</v>
      </c>
      <c r="C18" s="9" t="n">
        <v>450</v>
      </c>
      <c r="D18" s="9" t="n">
        <v>100</v>
      </c>
      <c r="E18" s="35" t="n">
        <v>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false"/>
  </sheetPr>
  <dimension ref="A1:I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9"/>
    <col collapsed="false" customWidth="true" hidden="false" outlineLevel="0" max="2" min="2" style="1" width="12"/>
    <col collapsed="false" customWidth="true" hidden="false" outlineLevel="0" max="3" min="3" style="1" width="9"/>
    <col collapsed="false" customWidth="true" hidden="false" outlineLevel="0" max="5" min="4" style="1" width="16"/>
    <col collapsed="false" customWidth="true" hidden="false" outlineLevel="0" max="6" min="6" style="1" width="20"/>
    <col collapsed="false" customWidth="true" hidden="false" outlineLevel="0" max="7" min="7" style="1" width="14"/>
  </cols>
  <sheetData>
    <row r="1" customFormat="false" ht="17.25" hidden="false" customHeight="true" outlineLevel="0" collapsed="false">
      <c r="A1" s="2" t="s">
        <v>20</v>
      </c>
    </row>
    <row r="2" customFormat="false" ht="15" hidden="false" customHeight="true" outlineLevel="0" collapsed="false">
      <c r="A2" s="3" t="s">
        <v>194</v>
      </c>
    </row>
    <row r="4" customFormat="false" ht="15" hidden="false" customHeight="true" outlineLevel="0" collapsed="false">
      <c r="A4" s="6" t="s">
        <v>22</v>
      </c>
    </row>
    <row r="5" customFormat="false" ht="23.25" hidden="false" customHeight="true" outlineLevel="0" collapsed="false">
      <c r="A5" s="7" t="s">
        <v>23</v>
      </c>
      <c r="B5" s="7" t="s">
        <v>24</v>
      </c>
      <c r="C5" s="7" t="s">
        <v>25</v>
      </c>
      <c r="D5" s="7" t="s">
        <v>26</v>
      </c>
      <c r="E5" s="7" t="s">
        <v>27</v>
      </c>
      <c r="F5" s="7" t="s">
        <v>28</v>
      </c>
      <c r="G5" s="7" t="s">
        <v>29</v>
      </c>
    </row>
    <row r="6" customFormat="false" ht="15" hidden="false" customHeight="true" outlineLevel="0" collapsed="false">
      <c r="A6" s="8" t="n">
        <v>1001</v>
      </c>
      <c r="B6" s="8" t="s">
        <v>30</v>
      </c>
      <c r="C6" s="9" t="n">
        <v>120</v>
      </c>
      <c r="D6" s="36" t="n">
        <f aca="false">VLOOKUP(B6,Ref!$A$4:$B$6,2,FALSE())</f>
        <v>900</v>
      </c>
      <c r="E6" s="36" t="n">
        <f aca="false">INDEX(Ref!$B$4:$B$6,MATCH(B6,Ref!$A$4:$A$6,0))</f>
        <v>900</v>
      </c>
      <c r="F6" s="36" t="n">
        <f aca="false">INDEX(Ref!$B$4:$B$6,MATCH(B6,Ref!$A$4:$A$6,0))</f>
        <v>900</v>
      </c>
      <c r="G6" s="36" t="n">
        <f aca="false">C6*F6</f>
        <v>108000</v>
      </c>
    </row>
    <row r="7" customFormat="false" ht="15" hidden="false" customHeight="true" outlineLevel="0" collapsed="false">
      <c r="A7" s="8" t="n">
        <v>1002</v>
      </c>
      <c r="B7" s="8" t="s">
        <v>31</v>
      </c>
      <c r="C7" s="9" t="n">
        <v>300</v>
      </c>
      <c r="D7" s="36" t="n">
        <f aca="false">VLOOKUP(B7,Ref!$A$4:$B$6,2,FALSE())</f>
        <v>300</v>
      </c>
      <c r="E7" s="36" t="n">
        <f aca="false">INDEX(Ref!$B$4:$B$6,MATCH(B7,Ref!$A$4:$A$6,0))</f>
        <v>300</v>
      </c>
      <c r="F7" s="36" t="n">
        <f aca="false">INDEX(Ref!$B$4:$B$6,MATCH(B7,Ref!$A$4:$A$6,0))</f>
        <v>300</v>
      </c>
      <c r="G7" s="36" t="n">
        <f aca="false">C7*F7</f>
        <v>90000</v>
      </c>
    </row>
    <row r="8" customFormat="false" ht="15" hidden="false" customHeight="true" outlineLevel="0" collapsed="false">
      <c r="A8" s="8" t="n">
        <v>1003</v>
      </c>
      <c r="B8" s="8" t="s">
        <v>32</v>
      </c>
      <c r="C8" s="9" t="n">
        <v>75</v>
      </c>
      <c r="D8" s="36" t="n">
        <f aca="false">VLOOKUP(B8,Ref!$A$4:$B$6,2,FALSE())</f>
        <v>600</v>
      </c>
      <c r="E8" s="36" t="n">
        <f aca="false">INDEX(Ref!$B$4:$B$6,MATCH(B8,Ref!$A$4:$A$6,0))</f>
        <v>600</v>
      </c>
      <c r="F8" s="36" t="n">
        <f aca="false">INDEX(Ref!$B$4:$B$6,MATCH(B8,Ref!$A$4:$A$6,0))</f>
        <v>600</v>
      </c>
      <c r="G8" s="36" t="n">
        <f aca="false">C8*F8</f>
        <v>45000</v>
      </c>
    </row>
    <row r="9" customFormat="false" ht="15" hidden="false" customHeight="true" outlineLevel="0" collapsed="false">
      <c r="A9" s="8" t="n">
        <v>1004</v>
      </c>
      <c r="B9" s="8" t="s">
        <v>30</v>
      </c>
      <c r="C9" s="9" t="n">
        <v>40</v>
      </c>
      <c r="D9" s="36" t="n">
        <f aca="false">VLOOKUP(B9,Ref!$A$4:$B$6,2,FALSE())</f>
        <v>900</v>
      </c>
      <c r="E9" s="36" t="n">
        <f aca="false">INDEX(Ref!$B$4:$B$6,MATCH(B9,Ref!$A$4:$A$6,0))</f>
        <v>900</v>
      </c>
      <c r="F9" s="36" t="n">
        <f aca="false">INDEX(Ref!$B$4:$B$6,MATCH(B9,Ref!$A$4:$A$6,0))</f>
        <v>900</v>
      </c>
      <c r="G9" s="36" t="n">
        <f aca="false">C9*F9</f>
        <v>36000</v>
      </c>
    </row>
    <row r="10" customFormat="false" ht="15" hidden="false" customHeight="true" outlineLevel="0" collapsed="false">
      <c r="A10" s="8" t="n">
        <v>1005</v>
      </c>
      <c r="B10" s="8" t="s">
        <v>32</v>
      </c>
      <c r="C10" s="9" t="n">
        <v>210</v>
      </c>
      <c r="D10" s="36" t="n">
        <f aca="false">VLOOKUP(B10,Ref!$A$4:$B$6,2,FALSE())</f>
        <v>600</v>
      </c>
      <c r="E10" s="36" t="n">
        <f aca="false">INDEX(Ref!$B$4:$B$6,MATCH(B10,Ref!$A$4:$A$6,0))</f>
        <v>600</v>
      </c>
      <c r="F10" s="36" t="n">
        <f aca="false">INDEX(Ref!$B$4:$B$6,MATCH(B10,Ref!$A$4:$A$6,0))</f>
        <v>600</v>
      </c>
      <c r="G10" s="36" t="n">
        <f aca="false">C10*F10</f>
        <v>126000</v>
      </c>
    </row>
    <row r="11" customFormat="false" ht="15" hidden="false" customHeight="true" outlineLevel="0" collapsed="false">
      <c r="A11" s="8" t="n">
        <v>1006</v>
      </c>
      <c r="B11" s="8" t="s">
        <v>31</v>
      </c>
      <c r="C11" s="9" t="n">
        <v>90</v>
      </c>
      <c r="D11" s="36" t="n">
        <f aca="false">VLOOKUP(B11,Ref!$A$4:$B$6,2,FALSE())</f>
        <v>300</v>
      </c>
      <c r="E11" s="36" t="n">
        <f aca="false">INDEX(Ref!$B$4:$B$6,MATCH(B11,Ref!$A$4:$A$6,0))</f>
        <v>300</v>
      </c>
      <c r="F11" s="36" t="n">
        <f aca="false">INDEX(Ref!$B$4:$B$6,MATCH(B11,Ref!$A$4:$A$6,0))</f>
        <v>300</v>
      </c>
      <c r="G11" s="36" t="n">
        <f aca="false">C11*F11</f>
        <v>27000</v>
      </c>
    </row>
    <row r="12" customFormat="false" ht="15" hidden="false" customHeight="true" outlineLevel="0" collapsed="false">
      <c r="F12" s="12" t="s">
        <v>33</v>
      </c>
      <c r="G12" s="36" t="n">
        <f aca="false">SUM(G6:G11)</f>
        <v>432000</v>
      </c>
    </row>
    <row r="13" customFormat="false" ht="15" hidden="false" customHeight="true" outlineLevel="0" collapsed="false">
      <c r="A13" s="3" t="s">
        <v>34</v>
      </c>
    </row>
    <row r="15" customFormat="false" ht="15" hidden="false" customHeight="true" outlineLevel="0" collapsed="false">
      <c r="A15" s="6" t="s">
        <v>35</v>
      </c>
    </row>
    <row r="16" customFormat="false" ht="15" hidden="false" customHeight="true" outlineLevel="0" collapsed="false">
      <c r="A16" s="7" t="s">
        <v>36</v>
      </c>
      <c r="B16" s="7" t="s">
        <v>37</v>
      </c>
      <c r="C16" s="7"/>
      <c r="D16" s="7"/>
      <c r="E16" s="7"/>
      <c r="F16" s="7" t="s">
        <v>38</v>
      </c>
    </row>
    <row r="17" customFormat="false" ht="27.75" hidden="false" customHeight="true" outlineLevel="0" collapsed="false">
      <c r="A17" s="13" t="n">
        <v>1</v>
      </c>
      <c r="B17" s="14" t="s">
        <v>39</v>
      </c>
      <c r="C17" s="14"/>
      <c r="D17" s="14"/>
      <c r="E17" s="14"/>
      <c r="F17" s="37" t="n">
        <f aca="false">SUMIFS(Data!$E$2:$E$73,Data!$B$2:$B$73,"Carrier A")</f>
        <v>15573</v>
      </c>
    </row>
    <row r="18" customFormat="false" ht="27.75" hidden="false" customHeight="true" outlineLevel="0" collapsed="false">
      <c r="A18" s="13" t="n">
        <v>2</v>
      </c>
      <c r="B18" s="14" t="s">
        <v>40</v>
      </c>
      <c r="C18" s="14"/>
      <c r="D18" s="14"/>
      <c r="E18" s="14"/>
      <c r="F18" s="37" t="n">
        <f aca="false">SUMIFS(Data!$D$2:$D$73,Data!$B$2:$B$73,"Carrier B",Data!$C$2:$C$73,"Model Y",Data!$A$2:$A$73,"&gt;=45",Data!$A$2:$A$73,"&lt;=48")</f>
        <v>2600</v>
      </c>
    </row>
    <row r="19" customFormat="false" ht="27.75" hidden="false" customHeight="true" outlineLevel="0" collapsed="false">
      <c r="A19" s="13" t="n">
        <v>3</v>
      </c>
      <c r="B19" s="14" t="s">
        <v>41</v>
      </c>
      <c r="C19" s="14"/>
      <c r="D19" s="14"/>
      <c r="E19" s="14"/>
      <c r="F19" s="38" t="n">
        <f aca="false">COUNTIFS(Data!$B$2:$B$73,"Retailer C",Data!$C$2:$C$73,"Model Z",Data!$E$2:$E$73,"&lt;120")</f>
        <v>5</v>
      </c>
    </row>
    <row r="20" customFormat="false" ht="27.75" hidden="false" customHeight="true" outlineLevel="0" collapsed="false">
      <c r="A20" s="13" t="n">
        <v>4</v>
      </c>
      <c r="B20" s="14" t="s">
        <v>42</v>
      </c>
      <c r="C20" s="14"/>
      <c r="D20" s="14"/>
      <c r="E20" s="14"/>
      <c r="F20" s="37" t="n">
        <f aca="false">SUMIFS(Data!$D$2:$D$73,Data!$B$2:$B$73,"Carrier B",Data!$C$2:$C$73,"Model Y")-SUMIFS(Data!$E$2:$E$73,Data!$B$2:$B$73,"Carrier B",Data!$C$2:$C$73,"Model Y")</f>
        <v>1067</v>
      </c>
    </row>
    <row r="21" customFormat="false" ht="27.75" hidden="false" customHeight="true" outlineLevel="0" collapsed="false">
      <c r="A21" s="13" t="n">
        <v>5</v>
      </c>
      <c r="B21" s="14" t="s">
        <v>43</v>
      </c>
      <c r="C21" s="14"/>
      <c r="D21" s="14"/>
      <c r="E21" s="14"/>
      <c r="F21" s="36" t="n">
        <f aca="false">SUMIFS(Data!$E$2:$E$73,Data!$C$2:$C$73,"Model X")*INDEX(Ref!$B$4:$B$6,MATCH("Model X",Ref!$A$4:$A$6,0))</f>
        <v>15692400</v>
      </c>
    </row>
    <row r="23" customFormat="false" ht="15" hidden="false" customHeight="true" outlineLevel="0" collapsed="false">
      <c r="A23" s="6" t="s">
        <v>44</v>
      </c>
    </row>
    <row r="24" customFormat="false" ht="15" hidden="false" customHeight="true" outlineLevel="0" collapsed="false">
      <c r="A24" s="6" t="s">
        <v>45</v>
      </c>
    </row>
    <row r="25" customFormat="false" ht="48" hidden="false" customHeight="true" outlineLevel="0" collapsed="false">
      <c r="A25" s="39" t="s">
        <v>195</v>
      </c>
      <c r="B25" s="39"/>
      <c r="C25" s="39"/>
      <c r="D25" s="39"/>
      <c r="E25" s="39"/>
      <c r="F25" s="39"/>
      <c r="G25" s="39"/>
      <c r="H25" s="39"/>
      <c r="I25" s="39"/>
    </row>
    <row r="26" customFormat="false" ht="15" hidden="false" customHeight="true" outlineLevel="0" collapsed="false">
      <c r="A26" s="6" t="s">
        <v>46</v>
      </c>
    </row>
    <row r="27" customFormat="false" ht="48" hidden="false" customHeight="true" outlineLevel="0" collapsed="false">
      <c r="A27" s="39" t="s">
        <v>196</v>
      </c>
      <c r="B27" s="39"/>
      <c r="C27" s="39"/>
      <c r="D27" s="39"/>
      <c r="E27" s="39"/>
      <c r="F27" s="39"/>
      <c r="G27" s="39"/>
      <c r="H27" s="39"/>
      <c r="I27" s="39"/>
    </row>
    <row r="28" customFormat="false" ht="15" hidden="false" customHeight="true" outlineLevel="0" collapsed="false">
      <c r="A28" s="6" t="s">
        <v>47</v>
      </c>
    </row>
    <row r="29" customFormat="false" ht="48" hidden="false" customHeight="true" outlineLevel="0" collapsed="false">
      <c r="A29" s="39" t="s">
        <v>197</v>
      </c>
      <c r="B29" s="39"/>
      <c r="C29" s="39"/>
      <c r="D29" s="39"/>
      <c r="E29" s="39"/>
      <c r="F29" s="39"/>
      <c r="G29" s="39"/>
      <c r="H29" s="39"/>
      <c r="I29" s="39"/>
    </row>
  </sheetData>
  <mergeCells count="8">
    <mergeCell ref="B17:E17"/>
    <mergeCell ref="B18:E18"/>
    <mergeCell ref="B19:E19"/>
    <mergeCell ref="B20:E20"/>
    <mergeCell ref="B21:E21"/>
    <mergeCell ref="A25:I25"/>
    <mergeCell ref="A27:I27"/>
    <mergeCell ref="A29:I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false"/>
  </sheetPr>
  <dimension ref="A1:J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1" width="24"/>
    <col collapsed="false" customWidth="true" hidden="false" outlineLevel="0" max="2" min="2" style="1" width="28"/>
    <col collapsed="false" customWidth="true" hidden="false" outlineLevel="0" max="10" min="3" style="1" width="11"/>
  </cols>
  <sheetData>
    <row r="1" customFormat="false" ht="17.25" hidden="false" customHeight="true" outlineLevel="0" collapsed="false">
      <c r="A1" s="2" t="s">
        <v>48</v>
      </c>
    </row>
    <row r="2" customFormat="false" ht="15" hidden="false" customHeight="true" outlineLevel="0" collapsed="false">
      <c r="A2" s="3" t="s">
        <v>198</v>
      </c>
    </row>
    <row r="3" customFormat="false" ht="15" hidden="false" customHeight="true" outlineLevel="0" collapsed="false">
      <c r="A3" s="12" t="s">
        <v>50</v>
      </c>
      <c r="B3" s="19" t="s">
        <v>51</v>
      </c>
      <c r="D3" s="3" t="s">
        <v>52</v>
      </c>
    </row>
    <row r="4" customFormat="false" ht="15" hidden="false" customHeight="true" outlineLevel="0" collapsed="false">
      <c r="A4" s="12" t="s">
        <v>24</v>
      </c>
      <c r="B4" s="19" t="s">
        <v>30</v>
      </c>
    </row>
    <row r="5" customFormat="false" ht="15" hidden="false" customHeight="true" outlineLevel="0" collapsed="false">
      <c r="A5" s="12" t="s">
        <v>53</v>
      </c>
      <c r="B5" s="20" t="n">
        <f aca="false">SUMIFS(Ref!$D$10:$D$18,Ref!$A$10:$A$18,$B$3,Ref!$B$10:$B$18,$B$4)</f>
        <v>950</v>
      </c>
    </row>
    <row r="6" customFormat="false" ht="15" hidden="false" customHeight="true" outlineLevel="0" collapsed="false">
      <c r="A6" s="12" t="s">
        <v>54</v>
      </c>
      <c r="B6" s="21" t="n">
        <f aca="false">SUMIFS(Ref!$E$10:$E$18,Ref!$A$10:$A$18,$B$3,Ref!$B$10:$B$18,$B$4)</f>
        <v>4</v>
      </c>
    </row>
    <row r="7" customFormat="false" ht="15" hidden="false" customHeight="true" outlineLevel="0" collapsed="false">
      <c r="C7" s="3" t="n">
        <v>41</v>
      </c>
      <c r="D7" s="3" t="n">
        <v>42</v>
      </c>
      <c r="E7" s="3" t="n">
        <v>43</v>
      </c>
      <c r="F7" s="3" t="n">
        <v>44</v>
      </c>
      <c r="G7" s="3" t="n">
        <v>45</v>
      </c>
      <c r="H7" s="3" t="n">
        <v>46</v>
      </c>
      <c r="I7" s="3" t="n">
        <v>47</v>
      </c>
      <c r="J7" s="3" t="n">
        <v>48</v>
      </c>
    </row>
    <row r="8" customFormat="false" ht="15" hidden="false" customHeight="true" outlineLevel="0" collapsed="false">
      <c r="A8" s="7" t="s">
        <v>55</v>
      </c>
      <c r="B8" s="7" t="s">
        <v>56</v>
      </c>
      <c r="C8" s="7" t="s">
        <v>57</v>
      </c>
      <c r="D8" s="7" t="s">
        <v>58</v>
      </c>
      <c r="E8" s="7" t="s">
        <v>59</v>
      </c>
      <c r="F8" s="7" t="s">
        <v>60</v>
      </c>
      <c r="G8" s="7" t="s">
        <v>61</v>
      </c>
      <c r="H8" s="7" t="s">
        <v>62</v>
      </c>
      <c r="I8" s="7" t="s">
        <v>63</v>
      </c>
      <c r="J8" s="7" t="s">
        <v>64</v>
      </c>
    </row>
    <row r="9" customFormat="false" ht="25.5" hidden="false" customHeight="true" outlineLevel="0" collapsed="false">
      <c r="A9" s="12" t="s">
        <v>65</v>
      </c>
      <c r="B9" s="22" t="s">
        <v>66</v>
      </c>
      <c r="C9" s="20" t="n">
        <f aca="false">SUMIFS(Ref!$C$10:$C$18,Ref!$A$10:$A$18,$B$3,Ref!$B$10:$B$18,$B$4)</f>
        <v>3000</v>
      </c>
      <c r="D9" s="37" t="n">
        <f aca="false">C12</f>
        <v>3072</v>
      </c>
      <c r="E9" s="37" t="n">
        <f aca="false">D12</f>
        <v>3117</v>
      </c>
      <c r="F9" s="37" t="n">
        <f aca="false">E12</f>
        <v>3212</v>
      </c>
      <c r="G9" s="37" t="n">
        <f aca="false">F12</f>
        <v>2562</v>
      </c>
      <c r="H9" s="37" t="n">
        <f aca="false">G12</f>
        <v>2615</v>
      </c>
      <c r="I9" s="37" t="n">
        <f aca="false">H12</f>
        <v>2580</v>
      </c>
      <c r="J9" s="37" t="n">
        <f aca="false">I12</f>
        <v>2452</v>
      </c>
    </row>
    <row r="10" customFormat="false" ht="25.5" hidden="false" customHeight="true" outlineLevel="0" collapsed="false">
      <c r="A10" s="12" t="s">
        <v>67</v>
      </c>
      <c r="B10" s="22" t="s">
        <v>68</v>
      </c>
      <c r="C10" s="37" t="n">
        <f aca="false">SUMIFS(Data!$D$2:$D$73,Data!$A$2:$A$73,C$7,Data!$B$2:$B$73,$B$3,Data!$C$2:$C$73,$B$4)</f>
        <v>1100</v>
      </c>
      <c r="D10" s="37" t="n">
        <f aca="false">SUMIFS(Data!$D$2:$D$73,Data!$A$2:$A$73,D$7,Data!$B$2:$B$73,$B$3,Data!$C$2:$C$73,$B$4)</f>
        <v>950</v>
      </c>
      <c r="E10" s="37" t="n">
        <f aca="false">SUMIFS(Data!$D$2:$D$73,Data!$A$2:$A$73,E$7,Data!$B$2:$B$73,$B$3,Data!$C$2:$C$73,$B$4)</f>
        <v>1050</v>
      </c>
      <c r="F10" s="37" t="n">
        <f aca="false">SUMIFS(Data!$D$2:$D$73,Data!$A$2:$A$73,F$7,Data!$B$2:$B$73,$B$3,Data!$C$2:$C$73,$B$4)</f>
        <v>950</v>
      </c>
      <c r="G10" s="37" t="n">
        <f aca="false">SUMIFS(Data!$D$2:$D$73,Data!$A$2:$A$73,G$7,Data!$B$2:$B$73,$B$3,Data!$C$2:$C$73,$B$4)</f>
        <v>1100</v>
      </c>
      <c r="H10" s="37" t="n">
        <f aca="false">SUMIFS(Data!$D$2:$D$73,Data!$A$2:$A$73,H$7,Data!$B$2:$B$73,$B$3,Data!$C$2:$C$73,$B$4)</f>
        <v>1000</v>
      </c>
      <c r="I10" s="37" t="n">
        <f aca="false">SUMIFS(Data!$D$2:$D$73,Data!$A$2:$A$73,I$7,Data!$B$2:$B$73,$B$3,Data!$C$2:$C$73,$B$4)</f>
        <v>950</v>
      </c>
      <c r="J10" s="37" t="n">
        <f aca="false">SUMIFS(Data!$D$2:$D$73,Data!$A$2:$A$73,J$7,Data!$B$2:$B$73,$B$3,Data!$C$2:$C$73,$B$4)</f>
        <v>900</v>
      </c>
    </row>
    <row r="11" customFormat="false" ht="25.5" hidden="false" customHeight="true" outlineLevel="0" collapsed="false">
      <c r="A11" s="12" t="s">
        <v>69</v>
      </c>
      <c r="B11" s="22" t="s">
        <v>70</v>
      </c>
      <c r="C11" s="37" t="n">
        <f aca="false">SUMIFS(Data!$E$2:$E$73,Data!$A$2:$A$73,C$7,Data!$B$2:$B$73,$B$3,Data!$C$2:$C$73,$B$4)</f>
        <v>1028</v>
      </c>
      <c r="D11" s="37" t="n">
        <f aca="false">SUMIFS(Data!$E$2:$E$73,Data!$A$2:$A$73,D$7,Data!$B$2:$B$73,$B$3,Data!$C$2:$C$73,$B$4)</f>
        <v>905</v>
      </c>
      <c r="E11" s="37" t="n">
        <f aca="false">SUMIFS(Data!$E$2:$E$73,Data!$A$2:$A$73,E$7,Data!$B$2:$B$73,$B$3,Data!$C$2:$C$73,$B$4)</f>
        <v>955</v>
      </c>
      <c r="F11" s="37" t="n">
        <f aca="false">SUMIFS(Data!$E$2:$E$73,Data!$A$2:$A$73,F$7,Data!$B$2:$B$73,$B$3,Data!$C$2:$C$73,$B$4)</f>
        <v>1600</v>
      </c>
      <c r="G11" s="37" t="n">
        <f aca="false">SUMIFS(Data!$E$2:$E$73,Data!$A$2:$A$73,G$7,Data!$B$2:$B$73,$B$3,Data!$C$2:$C$73,$B$4)</f>
        <v>1047</v>
      </c>
      <c r="H11" s="37" t="n">
        <f aca="false">SUMIFS(Data!$E$2:$E$73,Data!$A$2:$A$73,H$7,Data!$B$2:$B$73,$B$3,Data!$C$2:$C$73,$B$4)</f>
        <v>1035</v>
      </c>
      <c r="I11" s="37" t="n">
        <f aca="false">SUMIFS(Data!$E$2:$E$73,Data!$A$2:$A$73,I$7,Data!$B$2:$B$73,$B$3,Data!$C$2:$C$73,$B$4)</f>
        <v>1078</v>
      </c>
      <c r="J11" s="37" t="n">
        <f aca="false">SUMIFS(Data!$E$2:$E$73,Data!$A$2:$A$73,J$7,Data!$B$2:$B$73,$B$3,Data!$C$2:$C$73,$B$4)</f>
        <v>917</v>
      </c>
    </row>
    <row r="12" customFormat="false" ht="25.5" hidden="false" customHeight="true" outlineLevel="0" collapsed="false">
      <c r="A12" s="12" t="s">
        <v>71</v>
      </c>
      <c r="B12" s="22" t="s">
        <v>72</v>
      </c>
      <c r="C12" s="37" t="n">
        <f aca="false">C9+C10-C11</f>
        <v>3072</v>
      </c>
      <c r="D12" s="37" t="n">
        <f aca="false">D9+D10-D11</f>
        <v>3117</v>
      </c>
      <c r="E12" s="37" t="n">
        <f aca="false">E9+E10-E11</f>
        <v>3212</v>
      </c>
      <c r="F12" s="37" t="n">
        <f aca="false">F9+F10-F11</f>
        <v>2562</v>
      </c>
      <c r="G12" s="37" t="n">
        <f aca="false">G9+G10-G11</f>
        <v>2615</v>
      </c>
      <c r="H12" s="37" t="n">
        <f aca="false">H9+H10-H11</f>
        <v>2580</v>
      </c>
      <c r="I12" s="37" t="n">
        <f aca="false">I9+I10-I11</f>
        <v>2452</v>
      </c>
      <c r="J12" s="37" t="n">
        <f aca="false">J9+J10-J11</f>
        <v>2435</v>
      </c>
    </row>
    <row r="13" customFormat="false" ht="25.5" hidden="false" customHeight="true" outlineLevel="0" collapsed="false">
      <c r="A13" s="12" t="s">
        <v>73</v>
      </c>
      <c r="B13" s="22" t="s">
        <v>74</v>
      </c>
      <c r="C13" s="40" t="n">
        <f aca="false">IFERROR(C12/$B$5,0)</f>
        <v>3.23368421052632</v>
      </c>
      <c r="D13" s="40" t="n">
        <f aca="false">IFERROR(D12/$B$5,0)</f>
        <v>3.28105263157895</v>
      </c>
      <c r="E13" s="40" t="n">
        <f aca="false">IFERROR(E12/$B$5,0)</f>
        <v>3.38105263157895</v>
      </c>
      <c r="F13" s="40" t="n">
        <f aca="false">IFERROR(F12/$B$5,0)</f>
        <v>2.69684210526316</v>
      </c>
      <c r="G13" s="40" t="n">
        <f aca="false">IFERROR(G12/$B$5,0)</f>
        <v>2.75263157894737</v>
      </c>
      <c r="H13" s="40" t="n">
        <f aca="false">IFERROR(H12/$B$5,0)</f>
        <v>2.71578947368421</v>
      </c>
      <c r="I13" s="40" t="n">
        <f aca="false">IFERROR(I12/$B$5,0)</f>
        <v>2.58105263157895</v>
      </c>
      <c r="J13" s="40" t="n">
        <f aca="false">IFERROR(J12/$B$5,0)</f>
        <v>2.56315789473684</v>
      </c>
    </row>
    <row r="14" customFormat="false" ht="25.5" hidden="false" customHeight="true" outlineLevel="0" collapsed="false">
      <c r="A14" s="12" t="s">
        <v>75</v>
      </c>
      <c r="B14" s="22" t="s">
        <v>76</v>
      </c>
      <c r="C14" s="37" t="n">
        <f aca="false">$B$6*$B$5</f>
        <v>3800</v>
      </c>
      <c r="D14" s="37" t="n">
        <f aca="false">$B$6*$B$5</f>
        <v>3800</v>
      </c>
      <c r="E14" s="37" t="n">
        <f aca="false">$B$6*$B$5</f>
        <v>3800</v>
      </c>
      <c r="F14" s="37" t="n">
        <f aca="false">$B$6*$B$5</f>
        <v>3800</v>
      </c>
      <c r="G14" s="37" t="n">
        <f aca="false">$B$6*$B$5</f>
        <v>3800</v>
      </c>
      <c r="H14" s="37" t="n">
        <f aca="false">$B$6*$B$5</f>
        <v>3800</v>
      </c>
      <c r="I14" s="37" t="n">
        <f aca="false">$B$6*$B$5</f>
        <v>3800</v>
      </c>
      <c r="J14" s="37" t="n">
        <f aca="false">$B$6*$B$5</f>
        <v>3800</v>
      </c>
    </row>
    <row r="15" customFormat="false" ht="25.5" hidden="false" customHeight="true" outlineLevel="0" collapsed="false">
      <c r="A15" s="12" t="s">
        <v>77</v>
      </c>
      <c r="B15" s="22" t="s">
        <v>78</v>
      </c>
      <c r="C15" s="37" t="n">
        <f aca="false">C12-C14</f>
        <v>-728</v>
      </c>
      <c r="D15" s="37" t="n">
        <f aca="false">D12-D14</f>
        <v>-683</v>
      </c>
      <c r="E15" s="37" t="n">
        <f aca="false">E12-E14</f>
        <v>-588</v>
      </c>
      <c r="F15" s="37" t="n">
        <f aca="false">F12-F14</f>
        <v>-1238</v>
      </c>
      <c r="G15" s="37" t="n">
        <f aca="false">G12-G14</f>
        <v>-1185</v>
      </c>
      <c r="H15" s="37" t="n">
        <f aca="false">H12-H14</f>
        <v>-1220</v>
      </c>
      <c r="I15" s="37" t="n">
        <f aca="false">I12-I14</f>
        <v>-1348</v>
      </c>
      <c r="J15" s="37" t="n">
        <f aca="false">J12-J14</f>
        <v>-1365</v>
      </c>
    </row>
    <row r="16" customFormat="false" ht="25.5" hidden="false" customHeight="true" outlineLevel="0" collapsed="false">
      <c r="A16" s="12" t="s">
        <v>79</v>
      </c>
      <c r="B16" s="22" t="s">
        <v>80</v>
      </c>
      <c r="C16" s="13" t="str">
        <f aca="false">IF(C13&gt;$B$6*2,"Too high",IF(C13&lt;$B$6/2,"Too low","OK"))</f>
        <v>OK</v>
      </c>
      <c r="D16" s="13" t="str">
        <f aca="false">IF(D13&gt;$B$6*2,"Too high",IF(D13&lt;$B$6/2,"Too low","OK"))</f>
        <v>OK</v>
      </c>
      <c r="E16" s="13" t="str">
        <f aca="false">IF(E13&gt;$B$6*2,"Too high",IF(E13&lt;$B$6/2,"Too low","OK"))</f>
        <v>OK</v>
      </c>
      <c r="F16" s="13" t="str">
        <f aca="false">IF(F13&gt;$B$6*2,"Too high",IF(F13&lt;$B$6/2,"Too low","OK"))</f>
        <v>OK</v>
      </c>
      <c r="G16" s="13" t="str">
        <f aca="false">IF(G13&gt;$B$6*2,"Too high",IF(G13&lt;$B$6/2,"Too low","OK"))</f>
        <v>OK</v>
      </c>
      <c r="H16" s="13" t="str">
        <f aca="false">IF(H13&gt;$B$6*2,"Too high",IF(H13&lt;$B$6/2,"Too low","OK"))</f>
        <v>OK</v>
      </c>
      <c r="I16" s="13" t="str">
        <f aca="false">IF(I13&gt;$B$6*2,"Too high",IF(I13&lt;$B$6/2,"Too low","OK"))</f>
        <v>OK</v>
      </c>
      <c r="J16" s="13" t="str">
        <f aca="false">IF(J13&gt;$B$6*2,"Too high",IF(J13&lt;$B$6/2,"Too low","OK"))</f>
        <v>OK</v>
      </c>
    </row>
    <row r="17" customFormat="false" ht="15" hidden="false" customHeight="true" outlineLevel="0" collapsed="false">
      <c r="A17" s="3" t="s">
        <v>81</v>
      </c>
    </row>
    <row r="19" customFormat="false" ht="15" hidden="false" customHeight="true" outlineLevel="0" collapsed="false">
      <c r="A19" s="6" t="s">
        <v>44</v>
      </c>
    </row>
    <row r="20" customFormat="false" ht="15" hidden="false" customHeight="true" outlineLevel="0" collapsed="false">
      <c r="A20" s="6" t="s">
        <v>82</v>
      </c>
    </row>
    <row r="21" customFormat="false" ht="48" hidden="false" customHeight="true" outlineLevel="0" collapsed="false">
      <c r="A21" s="39" t="s">
        <v>199</v>
      </c>
      <c r="B21" s="39"/>
      <c r="C21" s="39"/>
      <c r="D21" s="39"/>
      <c r="E21" s="39"/>
      <c r="F21" s="39"/>
      <c r="G21" s="39"/>
      <c r="H21" s="39"/>
      <c r="I21" s="39"/>
    </row>
    <row r="22" customFormat="false" ht="15" hidden="false" customHeight="true" outlineLevel="0" collapsed="false">
      <c r="A22" s="6" t="s">
        <v>83</v>
      </c>
    </row>
    <row r="23" customFormat="false" ht="48" hidden="false" customHeight="true" outlineLevel="0" collapsed="false">
      <c r="A23" s="39" t="s">
        <v>200</v>
      </c>
      <c r="B23" s="39"/>
      <c r="C23" s="39"/>
      <c r="D23" s="39"/>
      <c r="E23" s="39"/>
      <c r="F23" s="39"/>
      <c r="G23" s="39"/>
      <c r="H23" s="39"/>
      <c r="I23" s="39"/>
    </row>
    <row r="24" customFormat="false" ht="15" hidden="false" customHeight="true" outlineLevel="0" collapsed="false">
      <c r="A24" s="6" t="s">
        <v>84</v>
      </c>
    </row>
    <row r="25" customFormat="false" ht="48" hidden="false" customHeight="true" outlineLevel="0" collapsed="false">
      <c r="A25" s="39" t="s">
        <v>201</v>
      </c>
      <c r="B25" s="39"/>
      <c r="C25" s="39"/>
      <c r="D25" s="39"/>
      <c r="E25" s="39"/>
      <c r="F25" s="39"/>
      <c r="G25" s="39"/>
      <c r="H25" s="39"/>
      <c r="I25" s="39"/>
    </row>
  </sheetData>
  <mergeCells count="3">
    <mergeCell ref="A21:I21"/>
    <mergeCell ref="A23:I23"/>
    <mergeCell ref="A25:I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false"/>
  </sheetPr>
  <dimension ref="A1:J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6"/>
    <col collapsed="false" customWidth="true" hidden="false" outlineLevel="0" max="2" min="2" style="1" width="13"/>
    <col collapsed="false" customWidth="true" hidden="false" outlineLevel="0" max="3" min="3" style="1" width="12"/>
    <col collapsed="false" customWidth="true" hidden="false" outlineLevel="0" max="4" min="4" style="1" width="13"/>
    <col collapsed="false" customWidth="true" hidden="false" outlineLevel="0" max="5" min="5" style="1" width="15"/>
    <col collapsed="false" customWidth="true" hidden="false" outlineLevel="0" max="6" min="6" style="1" width="17"/>
    <col collapsed="false" customWidth="true" hidden="false" outlineLevel="0" max="7" min="7" style="1" width="3"/>
    <col collapsed="false" customWidth="true" hidden="false" outlineLevel="0" max="8" min="8" style="1" width="22"/>
    <col collapsed="false" customWidth="true" hidden="false" outlineLevel="0" max="9" min="9" style="1" width="12"/>
    <col collapsed="false" customWidth="true" hidden="false" outlineLevel="0" max="10" min="10" style="1" width="36"/>
  </cols>
  <sheetData>
    <row r="1" customFormat="false" ht="17.25" hidden="false" customHeight="true" outlineLevel="0" collapsed="false">
      <c r="A1" s="2" t="s">
        <v>85</v>
      </c>
    </row>
    <row r="2" customFormat="false" ht="15" hidden="false" customHeight="true" outlineLevel="0" collapsed="false">
      <c r="A2" s="3" t="s">
        <v>202</v>
      </c>
    </row>
    <row r="5" customFormat="false" ht="15" hidden="false" customHeight="true" outlineLevel="0" collapsed="false">
      <c r="A5" s="7" t="s">
        <v>24</v>
      </c>
      <c r="B5" s="7" t="s">
        <v>87</v>
      </c>
      <c r="C5" s="7" t="s">
        <v>88</v>
      </c>
      <c r="D5" s="7" t="s">
        <v>89</v>
      </c>
      <c r="E5" s="7" t="s">
        <v>90</v>
      </c>
      <c r="F5" s="7" t="s">
        <v>91</v>
      </c>
      <c r="H5" s="7" t="s">
        <v>92</v>
      </c>
      <c r="I5" s="7" t="s">
        <v>93</v>
      </c>
      <c r="J5" s="7" t="s">
        <v>94</v>
      </c>
    </row>
    <row r="6" customFormat="false" ht="15" hidden="false" customHeight="true" outlineLevel="0" collapsed="false">
      <c r="A6" s="8" t="s">
        <v>95</v>
      </c>
      <c r="B6" s="9" t="n">
        <v>1000</v>
      </c>
      <c r="C6" s="9" t="n">
        <v>900</v>
      </c>
      <c r="D6" s="37" t="n">
        <f aca="false">B6-C6</f>
        <v>100</v>
      </c>
      <c r="E6" s="37" t="n">
        <f aca="false">ABS(D6)</f>
        <v>100</v>
      </c>
      <c r="F6" s="41" t="n">
        <f aca="false">IFERROR(E6/C6,0)</f>
        <v>0.111111111111111</v>
      </c>
      <c r="H6" s="12" t="s">
        <v>96</v>
      </c>
      <c r="I6" s="41" t="n">
        <f aca="false">AVERAGE(F6:F13)</f>
        <v>0.613987618284493</v>
      </c>
      <c r="J6" s="30" t="s">
        <v>97</v>
      </c>
    </row>
    <row r="7" customFormat="false" ht="15" hidden="false" customHeight="true" outlineLevel="0" collapsed="false">
      <c r="A7" s="8" t="s">
        <v>98</v>
      </c>
      <c r="B7" s="9" t="n">
        <v>500</v>
      </c>
      <c r="C7" s="9" t="n">
        <v>600</v>
      </c>
      <c r="D7" s="37" t="n">
        <f aca="false">B7-C7</f>
        <v>-100</v>
      </c>
      <c r="E7" s="37" t="n">
        <f aca="false">ABS(D7)</f>
        <v>100</v>
      </c>
      <c r="F7" s="41" t="n">
        <f aca="false">IFERROR(E7/C7,0)</f>
        <v>0.166666666666667</v>
      </c>
      <c r="H7" s="12" t="s">
        <v>99</v>
      </c>
      <c r="I7" s="41" t="n">
        <f aca="false">E14/C14</f>
        <v>0.119708693673191</v>
      </c>
      <c r="J7" s="30" t="s">
        <v>100</v>
      </c>
    </row>
    <row r="8" customFormat="false" ht="15" hidden="false" customHeight="true" outlineLevel="0" collapsed="false">
      <c r="A8" s="8" t="s">
        <v>101</v>
      </c>
      <c r="B8" s="9" t="n">
        <v>800</v>
      </c>
      <c r="C8" s="9" t="n">
        <v>780</v>
      </c>
      <c r="D8" s="37" t="n">
        <f aca="false">B8-C8</f>
        <v>20</v>
      </c>
      <c r="E8" s="37" t="n">
        <f aca="false">ABS(D8)</f>
        <v>20</v>
      </c>
      <c r="F8" s="41" t="n">
        <f aca="false">IFERROR(E8/C8,0)</f>
        <v>0.0256410256410256</v>
      </c>
      <c r="H8" s="12" t="s">
        <v>102</v>
      </c>
      <c r="I8" s="41" t="n">
        <f aca="false">1-I7</f>
        <v>0.880291306326809</v>
      </c>
      <c r="J8" s="30" t="s">
        <v>103</v>
      </c>
    </row>
    <row r="9" customFormat="false" ht="15" hidden="false" customHeight="true" outlineLevel="0" collapsed="false">
      <c r="A9" s="8" t="s">
        <v>104</v>
      </c>
      <c r="B9" s="9" t="n">
        <v>1200</v>
      </c>
      <c r="C9" s="9" t="n">
        <v>1000</v>
      </c>
      <c r="D9" s="37" t="n">
        <f aca="false">B9-C9</f>
        <v>200</v>
      </c>
      <c r="E9" s="37" t="n">
        <f aca="false">ABS(D9)</f>
        <v>200</v>
      </c>
      <c r="F9" s="41" t="n">
        <f aca="false">IFERROR(E9/C9,0)</f>
        <v>0.2</v>
      </c>
      <c r="H9" s="12" t="s">
        <v>105</v>
      </c>
      <c r="I9" s="41" t="n">
        <f aca="false">D14/C14</f>
        <v>0.0514337733272645</v>
      </c>
      <c r="J9" s="30" t="s">
        <v>106</v>
      </c>
    </row>
    <row r="10" customFormat="false" ht="15" hidden="false" customHeight="true" outlineLevel="0" collapsed="false">
      <c r="A10" s="8" t="s">
        <v>107</v>
      </c>
      <c r="B10" s="9" t="n">
        <v>300</v>
      </c>
      <c r="C10" s="9" t="n">
        <v>350</v>
      </c>
      <c r="D10" s="37" t="n">
        <f aca="false">B10-C10</f>
        <v>-50</v>
      </c>
      <c r="E10" s="37" t="n">
        <f aca="false">ABS(D10)</f>
        <v>50</v>
      </c>
      <c r="F10" s="41" t="n">
        <f aca="false">IFERROR(E10/C10,0)</f>
        <v>0.142857142857143</v>
      </c>
      <c r="H10" s="12" t="s">
        <v>108</v>
      </c>
      <c r="I10" s="41" t="n">
        <f aca="false">SUMPRODUCT(ABS(B6:B13-C6:C13))/SUM(C6:C13)</f>
        <v>0.119708693673191</v>
      </c>
      <c r="J10" s="30" t="s">
        <v>109</v>
      </c>
    </row>
    <row r="11" customFormat="false" ht="15" hidden="false" customHeight="true" outlineLevel="0" collapsed="false">
      <c r="A11" s="8" t="s">
        <v>110</v>
      </c>
      <c r="B11" s="9" t="n">
        <v>650</v>
      </c>
      <c r="C11" s="9" t="n">
        <v>640</v>
      </c>
      <c r="D11" s="37" t="n">
        <f aca="false">B11-C11</f>
        <v>10</v>
      </c>
      <c r="E11" s="37" t="n">
        <f aca="false">ABS(D11)</f>
        <v>10</v>
      </c>
      <c r="F11" s="41" t="n">
        <f aca="false">IFERROR(E11/C11,0)</f>
        <v>0.015625</v>
      </c>
      <c r="H11" s="12" t="s">
        <v>111</v>
      </c>
      <c r="I11" s="41" t="n">
        <f aca="false">AVERAGE(F6:F12)</f>
        <v>0.130271563753707</v>
      </c>
      <c r="J11" s="30" t="s">
        <v>112</v>
      </c>
    </row>
    <row r="12" customFormat="false" ht="15" hidden="false" customHeight="true" outlineLevel="0" collapsed="false">
      <c r="A12" s="8" t="s">
        <v>113</v>
      </c>
      <c r="B12" s="9" t="n">
        <v>150</v>
      </c>
      <c r="C12" s="9" t="n">
        <v>120</v>
      </c>
      <c r="D12" s="37" t="n">
        <f aca="false">B12-C12</f>
        <v>30</v>
      </c>
      <c r="E12" s="37" t="n">
        <f aca="false">ABS(D12)</f>
        <v>30</v>
      </c>
      <c r="F12" s="41" t="n">
        <f aca="false">IFERROR(E12/C12,0)</f>
        <v>0.25</v>
      </c>
    </row>
    <row r="13" customFormat="false" ht="15" hidden="false" customHeight="true" outlineLevel="0" collapsed="false">
      <c r="A13" s="8" t="s">
        <v>114</v>
      </c>
      <c r="B13" s="9" t="n">
        <v>20</v>
      </c>
      <c r="C13" s="9" t="n">
        <v>4</v>
      </c>
      <c r="D13" s="37" t="n">
        <f aca="false">B13-C13</f>
        <v>16</v>
      </c>
      <c r="E13" s="37" t="n">
        <f aca="false">ABS(D13)</f>
        <v>16</v>
      </c>
      <c r="F13" s="41" t="n">
        <f aca="false">IFERROR(E13/C13,0)</f>
        <v>4</v>
      </c>
    </row>
    <row r="14" customFormat="false" ht="15" hidden="false" customHeight="true" outlineLevel="0" collapsed="false">
      <c r="A14" s="12" t="s">
        <v>115</v>
      </c>
      <c r="B14" s="37" t="n">
        <f aca="false">SUM(B6:B13)</f>
        <v>4620</v>
      </c>
      <c r="C14" s="37" t="n">
        <f aca="false">SUM(C6:C13)</f>
        <v>4394</v>
      </c>
      <c r="D14" s="37" t="n">
        <f aca="false">SUM(D6:D13)</f>
        <v>226</v>
      </c>
      <c r="E14" s="37" t="n">
        <f aca="false">SUM(E6:E13)</f>
        <v>526</v>
      </c>
    </row>
    <row r="17" customFormat="false" ht="15" hidden="false" customHeight="true" outlineLevel="0" collapsed="false">
      <c r="A17" s="6" t="s">
        <v>44</v>
      </c>
    </row>
    <row r="18" customFormat="false" ht="15" hidden="false" customHeight="true" outlineLevel="0" collapsed="false">
      <c r="A18" s="6" t="s">
        <v>116</v>
      </c>
    </row>
    <row r="19" customFormat="false" ht="48" hidden="false" customHeight="true" outlineLevel="0" collapsed="false">
      <c r="A19" s="39" t="s">
        <v>203</v>
      </c>
      <c r="B19" s="39"/>
      <c r="C19" s="39"/>
      <c r="D19" s="39"/>
      <c r="E19" s="39"/>
      <c r="F19" s="39"/>
      <c r="G19" s="39"/>
      <c r="H19" s="39"/>
      <c r="I19" s="39"/>
    </row>
    <row r="20" customFormat="false" ht="15" hidden="false" customHeight="true" outlineLevel="0" collapsed="false">
      <c r="A20" s="6" t="s">
        <v>117</v>
      </c>
    </row>
    <row r="21" customFormat="false" ht="48" hidden="false" customHeight="true" outlineLevel="0" collapsed="false">
      <c r="A21" s="39" t="s">
        <v>204</v>
      </c>
      <c r="B21" s="39"/>
      <c r="C21" s="39"/>
      <c r="D21" s="39"/>
      <c r="E21" s="39"/>
      <c r="F21" s="39"/>
      <c r="G21" s="39"/>
      <c r="H21" s="39"/>
      <c r="I21" s="39"/>
    </row>
    <row r="22" customFormat="false" ht="15" hidden="false" customHeight="true" outlineLevel="0" collapsed="false">
      <c r="A22" s="6" t="s">
        <v>118</v>
      </c>
    </row>
    <row r="23" customFormat="false" ht="48" hidden="false" customHeight="true" outlineLevel="0" collapsed="false">
      <c r="A23" s="39" t="s">
        <v>205</v>
      </c>
      <c r="B23" s="39"/>
      <c r="C23" s="39"/>
      <c r="D23" s="39"/>
      <c r="E23" s="39"/>
      <c r="F23" s="39"/>
      <c r="G23" s="39"/>
      <c r="H23" s="39"/>
      <c r="I23" s="39"/>
    </row>
  </sheetData>
  <mergeCells count="3">
    <mergeCell ref="A19:I19"/>
    <mergeCell ref="A21:I21"/>
    <mergeCell ref="A23:I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false"/>
  </sheetPr>
  <dimension ref="A1:L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0"/>
    <col collapsed="false" customWidth="true" hidden="false" outlineLevel="0" max="4" min="3" style="1" width="14"/>
    <col collapsed="false" customWidth="true" hidden="false" outlineLevel="0" max="5" min="5" style="1" width="13"/>
    <col collapsed="false" customWidth="true" hidden="false" outlineLevel="0" max="6" min="6" style="1" width="9"/>
    <col collapsed="false" customWidth="true" hidden="false" outlineLevel="0" max="7" min="7" style="1" width="10"/>
    <col collapsed="false" customWidth="true" hidden="false" outlineLevel="0" max="8" min="8" style="1" width="13"/>
    <col collapsed="false" customWidth="true" hidden="false" outlineLevel="0" max="9" min="9" style="1" width="18"/>
    <col collapsed="false" customWidth="true" hidden="false" outlineLevel="0" max="10" min="10" style="1" width="3"/>
    <col collapsed="false" customWidth="true" hidden="false" outlineLevel="0" max="11" min="11" style="1" width="24"/>
    <col collapsed="false" customWidth="true" hidden="false" outlineLevel="0" max="12" min="12" style="1" width="14"/>
  </cols>
  <sheetData>
    <row r="1" customFormat="false" ht="17.25" hidden="false" customHeight="true" outlineLevel="0" collapsed="false">
      <c r="A1" s="2" t="s">
        <v>119</v>
      </c>
    </row>
    <row r="2" customFormat="false" ht="15" hidden="false" customHeight="true" outlineLevel="0" collapsed="false">
      <c r="A2" s="3" t="s">
        <v>206</v>
      </c>
    </row>
    <row r="5" customFormat="false" ht="23.25" hidden="false" customHeight="true" outlineLevel="0" collapsed="false">
      <c r="A5" s="7" t="s">
        <v>50</v>
      </c>
      <c r="B5" s="7" t="s">
        <v>24</v>
      </c>
      <c r="C5" s="7" t="s">
        <v>121</v>
      </c>
      <c r="D5" s="7" t="s">
        <v>122</v>
      </c>
      <c r="E5" s="7" t="s">
        <v>123</v>
      </c>
      <c r="F5" s="7" t="s">
        <v>124</v>
      </c>
      <c r="G5" s="7" t="s">
        <v>125</v>
      </c>
      <c r="H5" s="7" t="s">
        <v>126</v>
      </c>
      <c r="I5" s="7" t="s">
        <v>127</v>
      </c>
      <c r="K5" s="12" t="s">
        <v>128</v>
      </c>
    </row>
    <row r="6" customFormat="false" ht="15" hidden="false" customHeight="true" outlineLevel="0" collapsed="false">
      <c r="A6" s="8" t="s">
        <v>51</v>
      </c>
      <c r="B6" s="8" t="s">
        <v>30</v>
      </c>
      <c r="C6" s="9" t="n">
        <v>1200</v>
      </c>
      <c r="D6" s="9" t="n">
        <v>900</v>
      </c>
      <c r="E6" s="37" t="n">
        <f aca="false">D6-C6</f>
        <v>-300</v>
      </c>
      <c r="F6" s="41" t="n">
        <f aca="false">IFERROR(E6/C6,0)</f>
        <v>-0.25</v>
      </c>
      <c r="G6" s="36" t="n">
        <f aca="false">INDEX(Ref!$B$4:$B$6,MATCH(B6,Ref!$A$4:$A$6,0))</f>
        <v>900</v>
      </c>
      <c r="H6" s="36" t="n">
        <f aca="false">E6*G6</f>
        <v>-270000</v>
      </c>
      <c r="I6" s="13" t="str">
        <f aca="false">IF(ABS(E6)&gt;=200,"Explain in report","")</f>
        <v>Explain in report</v>
      </c>
      <c r="K6" s="13" t="s">
        <v>129</v>
      </c>
      <c r="L6" s="31" t="n">
        <v>3600000</v>
      </c>
    </row>
    <row r="7" customFormat="false" ht="15" hidden="false" customHeight="true" outlineLevel="0" collapsed="false">
      <c r="A7" s="8" t="s">
        <v>51</v>
      </c>
      <c r="B7" s="8" t="s">
        <v>32</v>
      </c>
      <c r="C7" s="9" t="n">
        <v>650</v>
      </c>
      <c r="D7" s="9" t="n">
        <v>700</v>
      </c>
      <c r="E7" s="37" t="n">
        <f aca="false">D7-C7</f>
        <v>50</v>
      </c>
      <c r="F7" s="41" t="n">
        <f aca="false">IFERROR(E7/C7,0)</f>
        <v>0.0769230769230769</v>
      </c>
      <c r="G7" s="36" t="n">
        <f aca="false">INDEX(Ref!$B$4:$B$6,MATCH(B7,Ref!$A$4:$A$6,0))</f>
        <v>600</v>
      </c>
      <c r="H7" s="36" t="n">
        <f aca="false">E7*G7</f>
        <v>30000</v>
      </c>
      <c r="I7" s="13" t="str">
        <f aca="false">IF(ABS(E7)&gt;=200,"Explain in report","")</f>
        <v/>
      </c>
      <c r="K7" s="13" t="s">
        <v>130</v>
      </c>
      <c r="L7" s="36" t="n">
        <f aca="false">SUMPRODUCT(D6:D14,G6:G14)</f>
        <v>3390000</v>
      </c>
    </row>
    <row r="8" customFormat="false" ht="15" hidden="false" customHeight="true" outlineLevel="0" collapsed="false">
      <c r="A8" s="8" t="s">
        <v>51</v>
      </c>
      <c r="B8" s="8" t="s">
        <v>31</v>
      </c>
      <c r="C8" s="9" t="n">
        <v>300</v>
      </c>
      <c r="D8" s="9" t="n">
        <v>300</v>
      </c>
      <c r="E8" s="37" t="n">
        <f aca="false">D8-C8</f>
        <v>0</v>
      </c>
      <c r="F8" s="41" t="n">
        <f aca="false">IFERROR(E8/C8,0)</f>
        <v>0</v>
      </c>
      <c r="G8" s="36" t="n">
        <f aca="false">INDEX(Ref!$B$4:$B$6,MATCH(B8,Ref!$A$4:$A$6,0))</f>
        <v>300</v>
      </c>
      <c r="H8" s="36" t="n">
        <f aca="false">E8*G8</f>
        <v>0</v>
      </c>
      <c r="I8" s="13" t="str">
        <f aca="false">IF(ABS(E8)&gt;=200,"Explain in report","")</f>
        <v/>
      </c>
      <c r="K8" s="13" t="s">
        <v>131</v>
      </c>
      <c r="L8" s="36" t="n">
        <f aca="false">SUMPRODUCT(C6:C14,G6:G14)</f>
        <v>3510000</v>
      </c>
    </row>
    <row r="9" customFormat="false" ht="15" hidden="false" customHeight="true" outlineLevel="0" collapsed="false">
      <c r="A9" s="8" t="s">
        <v>132</v>
      </c>
      <c r="B9" s="8" t="s">
        <v>30</v>
      </c>
      <c r="C9" s="9" t="n">
        <v>750</v>
      </c>
      <c r="D9" s="9" t="n">
        <v>800</v>
      </c>
      <c r="E9" s="37" t="n">
        <f aca="false">D9-C9</f>
        <v>50</v>
      </c>
      <c r="F9" s="41" t="n">
        <f aca="false">IFERROR(E9/C9,0)</f>
        <v>0.0666666666666667</v>
      </c>
      <c r="G9" s="36" t="n">
        <f aca="false">INDEX(Ref!$B$4:$B$6,MATCH(B9,Ref!$A$4:$A$6,0))</f>
        <v>900</v>
      </c>
      <c r="H9" s="36" t="n">
        <f aca="false">E9*G9</f>
        <v>45000</v>
      </c>
      <c r="I9" s="13" t="str">
        <f aca="false">IF(ABS(E9)&gt;=200,"Explain in report","")</f>
        <v/>
      </c>
      <c r="K9" s="13" t="s">
        <v>133</v>
      </c>
      <c r="L9" s="36" t="n">
        <f aca="false">L7-L6</f>
        <v>-210000</v>
      </c>
    </row>
    <row r="10" customFormat="false" ht="15" hidden="false" customHeight="true" outlineLevel="0" collapsed="false">
      <c r="A10" s="8" t="s">
        <v>132</v>
      </c>
      <c r="B10" s="8" t="s">
        <v>32</v>
      </c>
      <c r="C10" s="9" t="n">
        <v>520</v>
      </c>
      <c r="D10" s="9" t="n">
        <v>300</v>
      </c>
      <c r="E10" s="37" t="n">
        <f aca="false">D10-C10</f>
        <v>-220</v>
      </c>
      <c r="F10" s="41" t="n">
        <f aca="false">IFERROR(E10/C10,0)</f>
        <v>-0.423076923076923</v>
      </c>
      <c r="G10" s="36" t="n">
        <f aca="false">INDEX(Ref!$B$4:$B$6,MATCH(B10,Ref!$A$4:$A$6,0))</f>
        <v>600</v>
      </c>
      <c r="H10" s="36" t="n">
        <f aca="false">E10*G10</f>
        <v>-132000</v>
      </c>
      <c r="I10" s="13" t="str">
        <f aca="false">IF(ABS(E10)&gt;=200,"Explain in report","")</f>
        <v>Explain in report</v>
      </c>
      <c r="K10" s="13" t="s">
        <v>134</v>
      </c>
      <c r="L10" s="41" t="n">
        <f aca="false">IFERROR(L9/L6,0)</f>
        <v>-0.0583333333333333</v>
      </c>
    </row>
    <row r="11" customFormat="false" ht="15" hidden="false" customHeight="true" outlineLevel="0" collapsed="false">
      <c r="A11" s="8" t="s">
        <v>132</v>
      </c>
      <c r="B11" s="8" t="s">
        <v>31</v>
      </c>
      <c r="C11" s="9" t="n">
        <v>200</v>
      </c>
      <c r="D11" s="9" t="n">
        <v>210</v>
      </c>
      <c r="E11" s="37" t="n">
        <f aca="false">D11-C11</f>
        <v>10</v>
      </c>
      <c r="F11" s="41" t="n">
        <f aca="false">IFERROR(E11/C11,0)</f>
        <v>0.05</v>
      </c>
      <c r="G11" s="36" t="n">
        <f aca="false">INDEX(Ref!$B$4:$B$6,MATCH(B11,Ref!$A$4:$A$6,0))</f>
        <v>300</v>
      </c>
      <c r="H11" s="36" t="n">
        <f aca="false">E11*G11</f>
        <v>3000</v>
      </c>
      <c r="I11" s="13" t="str">
        <f aca="false">IF(ABS(E11)&gt;=200,"Explain in report","")</f>
        <v/>
      </c>
    </row>
    <row r="12" customFormat="false" ht="15" hidden="false" customHeight="true" outlineLevel="0" collapsed="false">
      <c r="A12" s="8" t="s">
        <v>135</v>
      </c>
      <c r="B12" s="8" t="s">
        <v>30</v>
      </c>
      <c r="C12" s="9" t="n">
        <v>420</v>
      </c>
      <c r="D12" s="9" t="n">
        <v>650</v>
      </c>
      <c r="E12" s="37" t="n">
        <f aca="false">D12-C12</f>
        <v>230</v>
      </c>
      <c r="F12" s="41" t="n">
        <f aca="false">IFERROR(E12/C12,0)</f>
        <v>0.547619047619048</v>
      </c>
      <c r="G12" s="36" t="n">
        <f aca="false">INDEX(Ref!$B$4:$B$6,MATCH(B12,Ref!$A$4:$A$6,0))</f>
        <v>900</v>
      </c>
      <c r="H12" s="36" t="n">
        <f aca="false">E12*G12</f>
        <v>207000</v>
      </c>
      <c r="I12" s="13" t="str">
        <f aca="false">IF(ABS(E12)&gt;=200,"Explain in report","")</f>
        <v>Explain in report</v>
      </c>
    </row>
    <row r="13" customFormat="false" ht="15" hidden="false" customHeight="true" outlineLevel="0" collapsed="false">
      <c r="A13" s="8" t="s">
        <v>135</v>
      </c>
      <c r="B13" s="8" t="s">
        <v>32</v>
      </c>
      <c r="C13" s="9" t="n">
        <v>800</v>
      </c>
      <c r="D13" s="9" t="n">
        <v>820</v>
      </c>
      <c r="E13" s="37" t="n">
        <f aca="false">D13-C13</f>
        <v>20</v>
      </c>
      <c r="F13" s="41" t="n">
        <f aca="false">IFERROR(E13/C13,0)</f>
        <v>0.025</v>
      </c>
      <c r="G13" s="36" t="n">
        <f aca="false">INDEX(Ref!$B$4:$B$6,MATCH(B13,Ref!$A$4:$A$6,0))</f>
        <v>600</v>
      </c>
      <c r="H13" s="36" t="n">
        <f aca="false">E13*G13</f>
        <v>12000</v>
      </c>
      <c r="I13" s="13" t="str">
        <f aca="false">IF(ABS(E13)&gt;=200,"Explain in report","")</f>
        <v/>
      </c>
    </row>
    <row r="14" customFormat="false" ht="15" hidden="false" customHeight="true" outlineLevel="0" collapsed="false">
      <c r="A14" s="8" t="s">
        <v>135</v>
      </c>
      <c r="B14" s="8" t="s">
        <v>31</v>
      </c>
      <c r="C14" s="9" t="n">
        <v>150</v>
      </c>
      <c r="D14" s="9" t="n">
        <v>100</v>
      </c>
      <c r="E14" s="37" t="n">
        <f aca="false">D14-C14</f>
        <v>-50</v>
      </c>
      <c r="F14" s="41" t="n">
        <f aca="false">IFERROR(E14/C14,0)</f>
        <v>-0.333333333333333</v>
      </c>
      <c r="G14" s="36" t="n">
        <f aca="false">INDEX(Ref!$B$4:$B$6,MATCH(B14,Ref!$A$4:$A$6,0))</f>
        <v>300</v>
      </c>
      <c r="H14" s="36" t="n">
        <f aca="false">E14*G14</f>
        <v>-15000</v>
      </c>
      <c r="I14" s="13" t="str">
        <f aca="false">IF(ABS(E14)&gt;=200,"Explain in report","")</f>
        <v/>
      </c>
    </row>
    <row r="15" customFormat="false" ht="15" hidden="false" customHeight="true" outlineLevel="0" collapsed="false">
      <c r="A15" s="12" t="s">
        <v>115</v>
      </c>
      <c r="C15" s="37" t="n">
        <f aca="false">SUM(C6:C14)</f>
        <v>4990</v>
      </c>
      <c r="D15" s="37" t="n">
        <f aca="false">SUM(D6:D14)</f>
        <v>4780</v>
      </c>
      <c r="E15" s="37" t="n">
        <f aca="false">SUM(E6:E14)</f>
        <v>-210</v>
      </c>
      <c r="H15" s="36" t="n">
        <f aca="false">SUM(H6:H14)</f>
        <v>-120000</v>
      </c>
    </row>
    <row r="17" customFormat="false" ht="15" hidden="false" customHeight="true" outlineLevel="0" collapsed="false">
      <c r="A17" s="6" t="s">
        <v>136</v>
      </c>
    </row>
    <row r="18" customFormat="false" ht="15" hidden="false" customHeight="true" outlineLevel="0" collapsed="false">
      <c r="A18" s="32" t="s">
        <v>137</v>
      </c>
    </row>
    <row r="19" customFormat="false" ht="15" hidden="false" customHeight="true" outlineLevel="0" collapsed="false">
      <c r="A19" s="32" t="s">
        <v>138</v>
      </c>
    </row>
    <row r="20" customFormat="false" ht="15" hidden="false" customHeight="true" outlineLevel="0" collapsed="false">
      <c r="A20" s="32" t="s">
        <v>139</v>
      </c>
    </row>
    <row r="21" customFormat="false" ht="15" hidden="false" customHeight="true" outlineLevel="0" collapsed="false">
      <c r="A21" s="32" t="s">
        <v>140</v>
      </c>
      <c r="H21" s="20" t="n">
        <f aca="false">SUM(Data!$E$2:$E$73)</f>
        <v>37458</v>
      </c>
    </row>
    <row r="24" customFormat="false" ht="15" hidden="false" customHeight="true" outlineLevel="0" collapsed="false">
      <c r="A24" s="6" t="s">
        <v>44</v>
      </c>
    </row>
    <row r="25" customFormat="false" ht="15" hidden="false" customHeight="true" outlineLevel="0" collapsed="false">
      <c r="A25" s="6" t="s">
        <v>141</v>
      </c>
    </row>
    <row r="26" customFormat="false" ht="48" hidden="false" customHeight="true" outlineLevel="0" collapsed="false">
      <c r="A26" s="39" t="s">
        <v>207</v>
      </c>
      <c r="B26" s="39"/>
      <c r="C26" s="39"/>
      <c r="D26" s="39"/>
      <c r="E26" s="39"/>
      <c r="F26" s="39"/>
      <c r="G26" s="39"/>
      <c r="H26" s="39"/>
      <c r="I26" s="39"/>
    </row>
    <row r="27" customFormat="false" ht="15" hidden="false" customHeight="true" outlineLevel="0" collapsed="false">
      <c r="A27" s="6" t="s">
        <v>142</v>
      </c>
    </row>
    <row r="28" customFormat="false" ht="48" hidden="false" customHeight="true" outlineLevel="0" collapsed="false">
      <c r="A28" s="39" t="s">
        <v>208</v>
      </c>
      <c r="B28" s="39"/>
      <c r="C28" s="39"/>
      <c r="D28" s="39"/>
      <c r="E28" s="39"/>
      <c r="F28" s="39"/>
      <c r="G28" s="39"/>
      <c r="H28" s="39"/>
      <c r="I28" s="39"/>
    </row>
  </sheetData>
  <mergeCells count="2">
    <mergeCell ref="A26:I26"/>
    <mergeCell ref="A28:I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false"/>
  </sheetPr>
  <dimension ref="A1:I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6"/>
    <col collapsed="false" customWidth="true" hidden="false" outlineLevel="0" max="2" min="2" style="1" width="12"/>
    <col collapsed="false" customWidth="true" hidden="false" outlineLevel="0" max="3" min="3" style="1" width="14"/>
    <col collapsed="false" customWidth="true" hidden="false" outlineLevel="0" max="4" min="4" style="1" width="15"/>
    <col collapsed="false" customWidth="true" hidden="false" outlineLevel="0" max="5" min="5" style="1" width="12"/>
    <col collapsed="false" customWidth="true" hidden="false" outlineLevel="0" max="6" min="6" style="1" width="11"/>
    <col collapsed="false" customWidth="true" hidden="false" outlineLevel="0" max="7" min="7" style="1" width="15"/>
    <col collapsed="false" customWidth="true" hidden="false" outlineLevel="0" max="8" min="8" style="1" width="14"/>
    <col collapsed="false" customWidth="true" hidden="false" outlineLevel="0" max="9" min="9" style="1" width="18"/>
  </cols>
  <sheetData>
    <row r="1" customFormat="false" ht="17.25" hidden="false" customHeight="true" outlineLevel="0" collapsed="false">
      <c r="A1" s="2" t="s">
        <v>143</v>
      </c>
    </row>
    <row r="2" customFormat="false" ht="15" hidden="false" customHeight="true" outlineLevel="0" collapsed="false">
      <c r="A2" s="3" t="s">
        <v>209</v>
      </c>
    </row>
    <row r="5" customFormat="false" ht="23.25" hidden="false" customHeight="true" outlineLevel="0" collapsed="false">
      <c r="A5" s="7" t="s">
        <v>145</v>
      </c>
      <c r="B5" s="7" t="s">
        <v>146</v>
      </c>
      <c r="C5" s="7" t="s">
        <v>147</v>
      </c>
      <c r="D5" s="7" t="s">
        <v>148</v>
      </c>
      <c r="E5" s="7" t="s">
        <v>149</v>
      </c>
      <c r="F5" s="7" t="s">
        <v>150</v>
      </c>
      <c r="G5" s="7" t="s">
        <v>151</v>
      </c>
      <c r="H5" s="7" t="s">
        <v>152</v>
      </c>
      <c r="I5" s="7" t="s">
        <v>153</v>
      </c>
    </row>
    <row r="6" customFormat="false" ht="15" hidden="false" customHeight="true" outlineLevel="0" collapsed="false">
      <c r="A6" s="8" t="s">
        <v>154</v>
      </c>
      <c r="B6" s="9" t="n">
        <v>1200</v>
      </c>
      <c r="C6" s="9" t="n">
        <v>100</v>
      </c>
      <c r="D6" s="33" t="n">
        <v>75</v>
      </c>
      <c r="E6" s="40" t="n">
        <f aca="false">IFERROR(B6/C6,0)</f>
        <v>12</v>
      </c>
      <c r="F6" s="13" t="str">
        <f aca="false">IF(D6&lt;=30,"0-30",IF(D6&lt;=60,"31-60",IF(D6&lt;=90,"61-90","90+")))</f>
        <v>61-90</v>
      </c>
      <c r="G6" s="13" t="str">
        <f aca="false">IF(E6&gt;8,"Aging risk",IF(E6&lt;2,"Stock-out risk","OK"))</f>
        <v>Aging risk</v>
      </c>
      <c r="H6" s="37" t="n">
        <f aca="false">ROUND($C$12*C6,0)</f>
        <v>371</v>
      </c>
      <c r="I6" s="37" t="n">
        <f aca="false">B6-H6</f>
        <v>829</v>
      </c>
    </row>
    <row r="7" customFormat="false" ht="15" hidden="false" customHeight="true" outlineLevel="0" collapsed="false">
      <c r="A7" s="8" t="s">
        <v>155</v>
      </c>
      <c r="B7" s="9" t="n">
        <v>300</v>
      </c>
      <c r="C7" s="9" t="n">
        <v>250</v>
      </c>
      <c r="D7" s="33" t="n">
        <v>20</v>
      </c>
      <c r="E7" s="40" t="n">
        <f aca="false">IFERROR(B7/C7,0)</f>
        <v>1.2</v>
      </c>
      <c r="F7" s="13" t="str">
        <f aca="false">IF(D7&lt;=30,"0-30",IF(D7&lt;=60,"31-60",IF(D7&lt;=90,"61-90","90+")))</f>
        <v>0-30</v>
      </c>
      <c r="G7" s="13" t="str">
        <f aca="false">IF(E7&gt;8,"Aging risk",IF(E7&lt;2,"Stock-out risk","OK"))</f>
        <v>Stock-out risk</v>
      </c>
      <c r="H7" s="37" t="n">
        <f aca="false">ROUND($C$12*C7,0)</f>
        <v>929</v>
      </c>
      <c r="I7" s="37" t="n">
        <f aca="false">B7-H7</f>
        <v>-629</v>
      </c>
    </row>
    <row r="8" customFormat="false" ht="15" hidden="false" customHeight="true" outlineLevel="0" collapsed="false">
      <c r="A8" s="8" t="s">
        <v>156</v>
      </c>
      <c r="B8" s="9" t="n">
        <v>900</v>
      </c>
      <c r="C8" s="9" t="n">
        <v>150</v>
      </c>
      <c r="D8" s="33" t="n">
        <v>95</v>
      </c>
      <c r="E8" s="40" t="n">
        <f aca="false">IFERROR(B8/C8,0)</f>
        <v>6</v>
      </c>
      <c r="F8" s="13" t="str">
        <f aca="false">IF(D8&lt;=30,"0-30",IF(D8&lt;=60,"31-60",IF(D8&lt;=90,"61-90","90+")))</f>
        <v>90+</v>
      </c>
      <c r="G8" s="13" t="str">
        <f aca="false">IF(E8&gt;8,"Aging risk",IF(E8&lt;2,"Stock-out risk","OK"))</f>
        <v>OK</v>
      </c>
      <c r="H8" s="37" t="n">
        <f aca="false">ROUND($C$12*C8,0)</f>
        <v>557</v>
      </c>
      <c r="I8" s="37" t="n">
        <f aca="false">B8-H8</f>
        <v>343</v>
      </c>
    </row>
    <row r="9" customFormat="false" ht="15" hidden="false" customHeight="true" outlineLevel="0" collapsed="false">
      <c r="A9" s="8" t="s">
        <v>157</v>
      </c>
      <c r="B9" s="9" t="n">
        <v>200</v>
      </c>
      <c r="C9" s="9" t="n">
        <v>200</v>
      </c>
      <c r="D9" s="33" t="n">
        <v>10</v>
      </c>
      <c r="E9" s="40" t="n">
        <f aca="false">IFERROR(B9/C9,0)</f>
        <v>1</v>
      </c>
      <c r="F9" s="13" t="str">
        <f aca="false">IF(D9&lt;=30,"0-30",IF(D9&lt;=60,"31-60",IF(D9&lt;=90,"61-90","90+")))</f>
        <v>0-30</v>
      </c>
      <c r="G9" s="13" t="str">
        <f aca="false">IF(E9&gt;8,"Aging risk",IF(E9&lt;2,"Stock-out risk","OK"))</f>
        <v>Stock-out risk</v>
      </c>
      <c r="H9" s="37" t="n">
        <f aca="false">ROUND($C$12*C9,0)</f>
        <v>743</v>
      </c>
      <c r="I9" s="37" t="n">
        <f aca="false">B9-H9</f>
        <v>-543</v>
      </c>
    </row>
    <row r="10" customFormat="false" ht="15" hidden="false" customHeight="true" outlineLevel="0" collapsed="false">
      <c r="A10" s="12" t="s">
        <v>115</v>
      </c>
      <c r="B10" s="37" t="n">
        <f aca="false">SUM(B6:B9)</f>
        <v>2600</v>
      </c>
      <c r="C10" s="37" t="n">
        <f aca="false">SUM(C6:C9)</f>
        <v>700</v>
      </c>
      <c r="I10" s="37" t="n">
        <f aca="false">SUM(I6:I9)</f>
        <v>0</v>
      </c>
    </row>
    <row r="12" customFormat="false" ht="15" hidden="false" customHeight="true" outlineLevel="0" collapsed="false">
      <c r="A12" s="12" t="s">
        <v>158</v>
      </c>
      <c r="B12" s="30" t="s">
        <v>159</v>
      </c>
      <c r="C12" s="40" t="n">
        <f aca="false">IFERROR(B10/C10,0)</f>
        <v>3.71428571428571</v>
      </c>
    </row>
    <row r="13" customFormat="false" ht="15" hidden="false" customHeight="true" outlineLevel="0" collapsed="false">
      <c r="A13" s="3" t="s">
        <v>160</v>
      </c>
    </row>
    <row r="15" customFormat="false" ht="15" hidden="false" customHeight="true" outlineLevel="0" collapsed="false">
      <c r="A15" s="6" t="s">
        <v>44</v>
      </c>
    </row>
    <row r="16" customFormat="false" ht="15" hidden="false" customHeight="true" outlineLevel="0" collapsed="false">
      <c r="A16" s="6" t="s">
        <v>161</v>
      </c>
    </row>
    <row r="17" customFormat="false" ht="48" hidden="false" customHeight="true" outlineLevel="0" collapsed="false">
      <c r="A17" s="39" t="s">
        <v>210</v>
      </c>
      <c r="B17" s="39"/>
      <c r="C17" s="39"/>
      <c r="D17" s="39"/>
      <c r="E17" s="39"/>
      <c r="F17" s="39"/>
      <c r="G17" s="39"/>
      <c r="H17" s="39"/>
      <c r="I17" s="39"/>
    </row>
    <row r="18" customFormat="false" ht="15" hidden="false" customHeight="true" outlineLevel="0" collapsed="false">
      <c r="A18" s="6" t="s">
        <v>162</v>
      </c>
    </row>
    <row r="19" customFormat="false" ht="48" hidden="false" customHeight="true" outlineLevel="0" collapsed="false">
      <c r="A19" s="39" t="s">
        <v>211</v>
      </c>
      <c r="B19" s="39"/>
      <c r="C19" s="39"/>
      <c r="D19" s="39"/>
      <c r="E19" s="39"/>
      <c r="F19" s="39"/>
      <c r="G19" s="39"/>
      <c r="H19" s="39"/>
      <c r="I19" s="39"/>
    </row>
  </sheetData>
  <mergeCells count="2">
    <mergeCell ref="A17:I17"/>
    <mergeCell ref="A19:I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false"/>
  </sheetPr>
  <dimension ref="A1:I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0"/>
    <col collapsed="false" customWidth="true" hidden="false" outlineLevel="0" max="2" min="2" style="1" width="15"/>
    <col collapsed="false" customWidth="true" hidden="false" outlineLevel="0" max="3" min="3" style="1" width="14"/>
    <col collapsed="false" customWidth="true" hidden="false" outlineLevel="0" max="4" min="4" style="1" width="12"/>
    <col collapsed="false" customWidth="true" hidden="false" outlineLevel="0" max="6" min="5" style="1" width="15"/>
    <col collapsed="false" customWidth="true" hidden="false" outlineLevel="0" max="7" min="7" style="1" width="16"/>
    <col collapsed="false" customWidth="true" hidden="false" outlineLevel="0" max="8" min="8" style="1" width="30"/>
  </cols>
  <sheetData>
    <row r="1" customFormat="false" ht="17.25" hidden="false" customHeight="true" outlineLevel="0" collapsed="false">
      <c r="A1" s="2" t="s">
        <v>163</v>
      </c>
    </row>
    <row r="2" customFormat="false" ht="15" hidden="false" customHeight="true" outlineLevel="0" collapsed="false">
      <c r="A2" s="3" t="s">
        <v>212</v>
      </c>
    </row>
    <row r="4" customFormat="false" ht="15" hidden="false" customHeight="true" outlineLevel="0" collapsed="false">
      <c r="A4" s="6" t="s">
        <v>165</v>
      </c>
    </row>
    <row r="5" customFormat="false" ht="23.25" hidden="false" customHeight="true" outlineLevel="0" collapsed="false">
      <c r="A5" s="7" t="s">
        <v>24</v>
      </c>
      <c r="B5" s="7" t="s">
        <v>166</v>
      </c>
      <c r="C5" s="7" t="s">
        <v>167</v>
      </c>
      <c r="D5" s="7" t="s">
        <v>168</v>
      </c>
      <c r="E5" s="7" t="s">
        <v>169</v>
      </c>
      <c r="F5" s="7" t="s">
        <v>170</v>
      </c>
      <c r="G5" s="7" t="s">
        <v>171</v>
      </c>
      <c r="H5" s="7" t="s">
        <v>172</v>
      </c>
    </row>
    <row r="6" customFormat="false" ht="15" hidden="false" customHeight="true" outlineLevel="0" collapsed="false">
      <c r="A6" s="8" t="s">
        <v>30</v>
      </c>
      <c r="B6" s="9" t="n">
        <v>5000</v>
      </c>
      <c r="C6" s="9" t="n">
        <v>4600</v>
      </c>
      <c r="D6" s="37" t="n">
        <f aca="false">B6-C6</f>
        <v>400</v>
      </c>
      <c r="E6" s="9" t="n">
        <v>300</v>
      </c>
      <c r="F6" s="9" t="n">
        <v>100</v>
      </c>
      <c r="G6" s="37" t="n">
        <f aca="false">D6-E6-F6</f>
        <v>0</v>
      </c>
      <c r="H6" s="13" t="str">
        <f aca="false">IF(G6=0,"Reconciled","Investigate")</f>
        <v>Reconciled</v>
      </c>
    </row>
    <row r="7" customFormat="false" ht="15" hidden="false" customHeight="true" outlineLevel="0" collapsed="false">
      <c r="A7" s="8" t="s">
        <v>32</v>
      </c>
      <c r="B7" s="9" t="n">
        <v>3200</v>
      </c>
      <c r="C7" s="9" t="n">
        <v>3050</v>
      </c>
      <c r="D7" s="37" t="n">
        <f aca="false">B7-C7</f>
        <v>150</v>
      </c>
      <c r="E7" s="9" t="n">
        <v>150</v>
      </c>
      <c r="F7" s="9" t="n">
        <v>0</v>
      </c>
      <c r="G7" s="37" t="n">
        <f aca="false">D7-E7-F7</f>
        <v>0</v>
      </c>
      <c r="H7" s="13" t="str">
        <f aca="false">IF(G7=0,"Reconciled","Investigate")</f>
        <v>Reconciled</v>
      </c>
    </row>
    <row r="8" customFormat="false" ht="15" hidden="false" customHeight="true" outlineLevel="0" collapsed="false">
      <c r="A8" s="8" t="s">
        <v>31</v>
      </c>
      <c r="B8" s="9" t="n">
        <v>1800</v>
      </c>
      <c r="C8" s="9" t="n">
        <v>1500</v>
      </c>
      <c r="D8" s="37" t="n">
        <f aca="false">B8-C8</f>
        <v>300</v>
      </c>
      <c r="E8" s="9" t="n">
        <v>120</v>
      </c>
      <c r="F8" s="9" t="n">
        <v>30</v>
      </c>
      <c r="G8" s="37" t="n">
        <f aca="false">D8-E8-F8</f>
        <v>150</v>
      </c>
      <c r="H8" s="13" t="str">
        <f aca="false">IF(G8=0,"Reconciled","Investigate")</f>
        <v>Investigate</v>
      </c>
    </row>
    <row r="11" customFormat="false" ht="15" hidden="false" customHeight="true" outlineLevel="0" collapsed="false">
      <c r="A11" s="6" t="s">
        <v>173</v>
      </c>
    </row>
    <row r="12" customFormat="false" ht="23.25" hidden="false" customHeight="true" outlineLevel="0" collapsed="false">
      <c r="A12" s="7" t="s">
        <v>174</v>
      </c>
      <c r="B12" s="7" t="s">
        <v>175</v>
      </c>
      <c r="C12" s="7" t="s">
        <v>176</v>
      </c>
      <c r="D12" s="7" t="s">
        <v>177</v>
      </c>
      <c r="E12" s="7" t="s">
        <v>178</v>
      </c>
      <c r="F12" s="7" t="s">
        <v>179</v>
      </c>
      <c r="G12" s="7" t="s">
        <v>180</v>
      </c>
      <c r="H12" s="7" t="s">
        <v>181</v>
      </c>
    </row>
    <row r="13" customFormat="false" ht="15" hidden="false" customHeight="true" outlineLevel="0" collapsed="false">
      <c r="A13" s="8" t="n">
        <v>44</v>
      </c>
      <c r="B13" s="9" t="n">
        <v>2800</v>
      </c>
      <c r="C13" s="34" t="n">
        <v>0.1</v>
      </c>
      <c r="D13" s="37" t="n">
        <f aca="false">ROUND(B13*(1+C13),0)</f>
        <v>3080</v>
      </c>
      <c r="E13" s="9" t="n">
        <v>2300</v>
      </c>
      <c r="F13" s="37" t="n">
        <f aca="false">D13-E13</f>
        <v>780</v>
      </c>
      <c r="G13" s="36" t="n">
        <f aca="false">IF(F13&gt;0,F13*900,0)</f>
        <v>702000</v>
      </c>
      <c r="H13" s="13" t="str">
        <f aca="false">IF(F13&gt;0,"Short: expedite, reallocate or flag",IF(-F13&gt;0.1*D13,"Surplus: reduce or delay next PO","On plan"))</f>
        <v>Short: expedite, reallocate or flag</v>
      </c>
    </row>
    <row r="14" customFormat="false" ht="15" hidden="false" customHeight="true" outlineLevel="0" collapsed="false">
      <c r="A14" s="8" t="n">
        <v>45</v>
      </c>
      <c r="B14" s="9" t="n">
        <v>2600</v>
      </c>
      <c r="C14" s="34" t="n">
        <v>0.1</v>
      </c>
      <c r="D14" s="37" t="n">
        <f aca="false">ROUND(B14*(1+C14),0)</f>
        <v>2860</v>
      </c>
      <c r="E14" s="9" t="n">
        <v>2900</v>
      </c>
      <c r="F14" s="37" t="n">
        <f aca="false">D14-E14</f>
        <v>-40</v>
      </c>
      <c r="G14" s="36" t="n">
        <f aca="false">IF(F14&gt;0,F14*900,0)</f>
        <v>0</v>
      </c>
      <c r="H14" s="13" t="str">
        <f aca="false">IF(F14&gt;0,"Short: expedite, reallocate or flag",IF(-F14&gt;0.1*D14,"Surplus: reduce or delay next PO","On plan"))</f>
        <v>On plan</v>
      </c>
    </row>
    <row r="15" customFormat="false" ht="15" hidden="false" customHeight="true" outlineLevel="0" collapsed="false">
      <c r="A15" s="8" t="n">
        <v>46</v>
      </c>
      <c r="B15" s="9" t="n">
        <v>2500</v>
      </c>
      <c r="C15" s="34" t="n">
        <v>0.05</v>
      </c>
      <c r="D15" s="37" t="n">
        <f aca="false">ROUND(B15*(1+C15),0)</f>
        <v>2625</v>
      </c>
      <c r="E15" s="9" t="n">
        <v>3400</v>
      </c>
      <c r="F15" s="37" t="n">
        <f aca="false">D15-E15</f>
        <v>-775</v>
      </c>
      <c r="G15" s="36" t="n">
        <f aca="false">IF(F15&gt;0,F15*900,0)</f>
        <v>0</v>
      </c>
      <c r="H15" s="13" t="str">
        <f aca="false">IF(F15&gt;0,"Short: expedite, reallocate or flag",IF(-F15&gt;0.1*D15,"Surplus: reduce or delay next PO","On plan"))</f>
        <v>Surplus: reduce or delay next PO</v>
      </c>
    </row>
    <row r="16" customFormat="false" ht="15" hidden="false" customHeight="true" outlineLevel="0" collapsed="false">
      <c r="A16" s="8" t="n">
        <v>47</v>
      </c>
      <c r="B16" s="9" t="n">
        <v>2400</v>
      </c>
      <c r="C16" s="34" t="n">
        <v>0.05</v>
      </c>
      <c r="D16" s="37" t="n">
        <f aca="false">ROUND(B16*(1+C16),0)</f>
        <v>2520</v>
      </c>
      <c r="E16" s="9" t="n">
        <v>2500</v>
      </c>
      <c r="F16" s="37" t="n">
        <f aca="false">D16-E16</f>
        <v>20</v>
      </c>
      <c r="G16" s="36" t="n">
        <f aca="false">IF(F16&gt;0,F16*900,0)</f>
        <v>18000</v>
      </c>
      <c r="H16" s="13" t="str">
        <f aca="false">IF(F16&gt;0,"Short: expedite, reallocate or flag",IF(-F16&gt;0.1*D16,"Surplus: reduce or delay next PO","On plan"))</f>
        <v>Short: expedite, reallocate or flag</v>
      </c>
    </row>
    <row r="17" customFormat="false" ht="15" hidden="false" customHeight="true" outlineLevel="0" collapsed="false">
      <c r="A17" s="3" t="s">
        <v>182</v>
      </c>
    </row>
    <row r="19" customFormat="false" ht="15" hidden="false" customHeight="true" outlineLevel="0" collapsed="false">
      <c r="A19" s="6" t="s">
        <v>44</v>
      </c>
    </row>
    <row r="20" customFormat="false" ht="15" hidden="false" customHeight="true" outlineLevel="0" collapsed="false">
      <c r="A20" s="6" t="s">
        <v>183</v>
      </c>
    </row>
    <row r="21" customFormat="false" ht="48" hidden="false" customHeight="true" outlineLevel="0" collapsed="false">
      <c r="A21" s="39" t="s">
        <v>213</v>
      </c>
      <c r="B21" s="39"/>
      <c r="C21" s="39"/>
      <c r="D21" s="39"/>
      <c r="E21" s="39"/>
      <c r="F21" s="39"/>
      <c r="G21" s="39"/>
      <c r="H21" s="39"/>
      <c r="I21" s="39"/>
    </row>
    <row r="22" customFormat="false" ht="15" hidden="false" customHeight="true" outlineLevel="0" collapsed="false">
      <c r="A22" s="6" t="s">
        <v>184</v>
      </c>
    </row>
    <row r="23" customFormat="false" ht="48" hidden="false" customHeight="true" outlineLevel="0" collapsed="false">
      <c r="A23" s="39" t="s">
        <v>214</v>
      </c>
      <c r="B23" s="39"/>
      <c r="C23" s="39"/>
      <c r="D23" s="39"/>
      <c r="E23" s="39"/>
      <c r="F23" s="39"/>
      <c r="G23" s="39"/>
      <c r="H23" s="39"/>
      <c r="I23" s="39"/>
    </row>
  </sheetData>
  <mergeCells count="2">
    <mergeCell ref="A21:I21"/>
    <mergeCell ref="A23:I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LibreOffice/26.2.4.2$MacOSX_AARCH64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2026-10-10T09:05:38Z</dcterms:created>
  <dc:creator>openpyxl</dc:creator>
  <dc:description/>
  <dc:language>en-AE</dc:language>
  <cp:lastModifiedBy/>
  <dcterms:modified xsi:type="dcterms:W3CDTF">2026-10-10T17:13:45Z</dcterms:modified>
  <cp:revision>0</cp:revision>
  <dc:subject/>
  <dc:title>Demand planning Excel practice workbook</dc:title>
</cp:coreProperties>
</file>

<file path=docProps/custom.xml><?xml version="1.0" encoding="utf-8"?>
<Properties xmlns="http://schemas.openxmlformats.org/officeDocument/2006/custom-properties" xmlns:vt="http://schemas.openxmlformats.org/officeDocument/2006/docPropsVTypes"/>
</file>